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User\Desktop\Licitação_Capithal\05.2023_ANATEL\"/>
    </mc:Choice>
  </mc:AlternateContent>
  <xr:revisionPtr revIDLastSave="0" documentId="13_ncr:1_{04C58936-BD92-40D3-AD37-EF9B25D2713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ONSOLIDAÇÃO" sheetId="10" r:id="rId1"/>
    <sheet name="SERVENTE" sheetId="5" r:id="rId2"/>
    <sheet name="UNIFORME" sheetId="6" r:id="rId3"/>
    <sheet name="EPI" sheetId="13" r:id="rId4"/>
    <sheet name="MATERIAIS" sheetId="9" r:id="rId5"/>
    <sheet name="UTENSÍLIOS" sheetId="11" r:id="rId6"/>
    <sheet name="EQUIPAMENTOS" sheetId="7" r:id="rId7"/>
    <sheet name="MMDT" sheetId="12" r:id="rId8"/>
  </sheets>
  <definedNames>
    <definedName name="_xlnm._FilterDatabase" localSheetId="4" hidden="1">MATERIAIS!$A$6:$F$45</definedName>
    <definedName name="_xlnm._FilterDatabase" localSheetId="7" hidden="1">MMDT!$B$1:$E$732</definedName>
    <definedName name="_xlnm._FilterDatabase" localSheetId="5" hidden="1">UTENSÍLIOS!$A$4:$E$28</definedName>
    <definedName name="_xlnm.Print_Area" localSheetId="3">EPI!$A$1:$F$10</definedName>
    <definedName name="_xlnm.Print_Area" localSheetId="6">EQUIPAMENTOS!$A$1:$H$11</definedName>
    <definedName name="_xlnm.Print_Area" localSheetId="4">MATERIAIS!$A$1:$G$45</definedName>
    <definedName name="_xlnm.Print_Area" localSheetId="7">MMDT!$G$1:$H$2</definedName>
    <definedName name="_xlnm.Print_Area" localSheetId="1">SERVENTE!$A$1:$G$155</definedName>
    <definedName name="_xlnm.Print_Area" localSheetId="2">UNIFORME!$A$1:$E$9</definedName>
    <definedName name="_xlnm.Print_Area" localSheetId="5">UTENSÍLIOS!$A$1:$F$28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2" i="9" l="1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19" i="9"/>
  <c r="D18" i="9"/>
  <c r="D17" i="9"/>
  <c r="D16" i="9"/>
  <c r="D15" i="9"/>
  <c r="D14" i="9"/>
  <c r="D13" i="9"/>
  <c r="D12" i="9"/>
  <c r="D11" i="9"/>
  <c r="D10" i="9"/>
  <c r="D9" i="9"/>
  <c r="Q41" i="9"/>
  <c r="Q40" i="9"/>
  <c r="Q39" i="9"/>
  <c r="Q31" i="9"/>
  <c r="Q30" i="9"/>
  <c r="Q29" i="9"/>
  <c r="Q28" i="9"/>
  <c r="Q27" i="9"/>
  <c r="Q25" i="9"/>
  <c r="Q18" i="9"/>
  <c r="Q16" i="9"/>
  <c r="Q10" i="9"/>
  <c r="Q9" i="9"/>
  <c r="D25" i="11"/>
  <c r="D24" i="11"/>
  <c r="D23" i="11"/>
  <c r="D21" i="11"/>
  <c r="D17" i="11"/>
  <c r="D16" i="11"/>
  <c r="D15" i="11"/>
  <c r="D14" i="11"/>
  <c r="D12" i="11"/>
  <c r="D11" i="11"/>
  <c r="D10" i="11"/>
  <c r="D8" i="11"/>
  <c r="D7" i="11"/>
  <c r="D6" i="11"/>
  <c r="D5" i="11"/>
  <c r="P17" i="11"/>
  <c r="P16" i="11"/>
  <c r="P15" i="11"/>
  <c r="P14" i="11"/>
  <c r="P12" i="11"/>
  <c r="P11" i="11"/>
  <c r="P7" i="11"/>
  <c r="D8" i="7"/>
  <c r="R8" i="7"/>
  <c r="D7" i="7"/>
  <c r="R7" i="7"/>
  <c r="D5" i="7"/>
  <c r="R5" i="7"/>
  <c r="D8" i="13"/>
  <c r="P8" i="13"/>
  <c r="D7" i="13"/>
  <c r="P7" i="13"/>
  <c r="D6" i="13"/>
  <c r="P6" i="13"/>
  <c r="D5" i="13"/>
  <c r="P5" i="13"/>
  <c r="D4" i="13"/>
  <c r="P4" i="13"/>
  <c r="P3" i="13"/>
  <c r="O6" i="6"/>
  <c r="O4" i="6"/>
  <c r="O7" i="6"/>
  <c r="O3" i="6"/>
  <c r="O5" i="6"/>
  <c r="F91" i="5"/>
  <c r="F58" i="5"/>
  <c r="AB58" i="5"/>
  <c r="AD58" i="5" l="1"/>
  <c r="AC58" i="5" l="1"/>
  <c r="P13" i="11"/>
  <c r="Q23" i="9"/>
  <c r="Q5" i="9"/>
  <c r="Q7" i="9"/>
  <c r="Q8" i="13"/>
  <c r="Q6" i="13"/>
  <c r="R5" i="13"/>
  <c r="D3" i="13"/>
  <c r="U114" i="5"/>
  <c r="W114" i="5" s="1"/>
  <c r="U113" i="5"/>
  <c r="W113" i="5" s="1"/>
  <c r="U91" i="5"/>
  <c r="V91" i="5" s="1"/>
  <c r="U89" i="5"/>
  <c r="V89" i="5" s="1"/>
  <c r="U88" i="5"/>
  <c r="V88" i="5"/>
  <c r="U87" i="5"/>
  <c r="V87" i="5" s="1"/>
  <c r="W89" i="5"/>
  <c r="U90" i="5"/>
  <c r="W90" i="5" s="1"/>
  <c r="U44" i="5"/>
  <c r="W44" i="5" s="1"/>
  <c r="D4" i="7"/>
  <c r="D6" i="7"/>
  <c r="D3" i="7"/>
  <c r="D13" i="11"/>
  <c r="D4" i="11"/>
  <c r="D9" i="11"/>
  <c r="D18" i="11"/>
  <c r="D19" i="11"/>
  <c r="D20" i="11"/>
  <c r="D22" i="11"/>
  <c r="D3" i="11"/>
  <c r="D23" i="9"/>
  <c r="D7" i="9"/>
  <c r="D5" i="9"/>
  <c r="D4" i="9"/>
  <c r="D6" i="9"/>
  <c r="D8" i="9"/>
  <c r="D20" i="9"/>
  <c r="D21" i="9"/>
  <c r="D22" i="9"/>
  <c r="D3" i="9"/>
  <c r="R3" i="7"/>
  <c r="T3" i="7" s="1"/>
  <c r="V4" i="7"/>
  <c r="W4" i="7"/>
  <c r="V5" i="7"/>
  <c r="W5" i="7"/>
  <c r="V6" i="7"/>
  <c r="W6" i="7"/>
  <c r="V7" i="7"/>
  <c r="W7" i="7"/>
  <c r="Z7" i="7" s="1"/>
  <c r="V8" i="7"/>
  <c r="W8" i="7"/>
  <c r="W3" i="7"/>
  <c r="V3" i="7"/>
  <c r="T5" i="11"/>
  <c r="X5" i="11" s="1"/>
  <c r="U5" i="11"/>
  <c r="T6" i="11"/>
  <c r="U6" i="11"/>
  <c r="T7" i="11"/>
  <c r="U7" i="11"/>
  <c r="T8" i="11"/>
  <c r="U8" i="11"/>
  <c r="T9" i="11"/>
  <c r="X9" i="11" s="1"/>
  <c r="U9" i="11"/>
  <c r="T10" i="11"/>
  <c r="X10" i="11" s="1"/>
  <c r="U10" i="11"/>
  <c r="T11" i="11"/>
  <c r="U11" i="11"/>
  <c r="T12" i="11"/>
  <c r="X12" i="11" s="1"/>
  <c r="U12" i="11"/>
  <c r="T13" i="11"/>
  <c r="U13" i="11"/>
  <c r="T14" i="11"/>
  <c r="U14" i="11"/>
  <c r="T15" i="11"/>
  <c r="U15" i="11"/>
  <c r="T16" i="11"/>
  <c r="X16" i="11" s="1"/>
  <c r="U16" i="11"/>
  <c r="T17" i="11"/>
  <c r="U17" i="11"/>
  <c r="T18" i="11"/>
  <c r="U18" i="11"/>
  <c r="T19" i="11"/>
  <c r="U19" i="11"/>
  <c r="T20" i="11"/>
  <c r="X20" i="11" s="1"/>
  <c r="U20" i="11"/>
  <c r="T21" i="11"/>
  <c r="U21" i="11"/>
  <c r="T22" i="11"/>
  <c r="U22" i="11"/>
  <c r="T23" i="11"/>
  <c r="U23" i="11"/>
  <c r="T24" i="11"/>
  <c r="U24" i="11"/>
  <c r="T25" i="11"/>
  <c r="X25" i="11" s="1"/>
  <c r="U25" i="11"/>
  <c r="U4" i="11"/>
  <c r="T4" i="11"/>
  <c r="U3" i="11"/>
  <c r="T3" i="11"/>
  <c r="U9" i="9"/>
  <c r="V9" i="9"/>
  <c r="U10" i="9"/>
  <c r="V10" i="9"/>
  <c r="U11" i="9"/>
  <c r="V11" i="9"/>
  <c r="U12" i="9"/>
  <c r="V12" i="9"/>
  <c r="U13" i="9"/>
  <c r="V13" i="9"/>
  <c r="U14" i="9"/>
  <c r="V14" i="9"/>
  <c r="U15" i="9"/>
  <c r="V15" i="9"/>
  <c r="U16" i="9"/>
  <c r="Y16" i="9" s="1"/>
  <c r="V16" i="9"/>
  <c r="U17" i="9"/>
  <c r="V17" i="9"/>
  <c r="U18" i="9"/>
  <c r="V18" i="9"/>
  <c r="U19" i="9"/>
  <c r="V19" i="9"/>
  <c r="U20" i="9"/>
  <c r="V20" i="9"/>
  <c r="U21" i="9"/>
  <c r="V21" i="9"/>
  <c r="U22" i="9"/>
  <c r="V22" i="9"/>
  <c r="U23" i="9"/>
  <c r="V23" i="9"/>
  <c r="U24" i="9"/>
  <c r="V24" i="9"/>
  <c r="U25" i="9"/>
  <c r="V25" i="9"/>
  <c r="U26" i="9"/>
  <c r="V26" i="9"/>
  <c r="U27" i="9"/>
  <c r="V27" i="9"/>
  <c r="U28" i="9"/>
  <c r="V28" i="9"/>
  <c r="U29" i="9"/>
  <c r="V29" i="9"/>
  <c r="U30" i="9"/>
  <c r="V30" i="9"/>
  <c r="U31" i="9"/>
  <c r="V31" i="9"/>
  <c r="U32" i="9"/>
  <c r="V32" i="9"/>
  <c r="U33" i="9"/>
  <c r="V33" i="9"/>
  <c r="V34" i="9"/>
  <c r="U35" i="9"/>
  <c r="V35" i="9"/>
  <c r="U36" i="9"/>
  <c r="Y36" i="9" s="1"/>
  <c r="V36" i="9"/>
  <c r="U37" i="9"/>
  <c r="V37" i="9"/>
  <c r="U38" i="9"/>
  <c r="V38" i="9"/>
  <c r="U39" i="9"/>
  <c r="V39" i="9"/>
  <c r="U40" i="9"/>
  <c r="Y40" i="9" s="1"/>
  <c r="V40" i="9"/>
  <c r="U41" i="9"/>
  <c r="V41" i="9"/>
  <c r="U42" i="9"/>
  <c r="V42" i="9"/>
  <c r="V8" i="9"/>
  <c r="U8" i="9"/>
  <c r="V7" i="9"/>
  <c r="U7" i="9"/>
  <c r="V6" i="9"/>
  <c r="U6" i="9"/>
  <c r="V5" i="9"/>
  <c r="U5" i="9"/>
  <c r="V4" i="9"/>
  <c r="U4" i="9"/>
  <c r="Y4" i="9" s="1"/>
  <c r="V3" i="9"/>
  <c r="U3" i="9"/>
  <c r="T8" i="13"/>
  <c r="X8" i="13" s="1"/>
  <c r="U8" i="13"/>
  <c r="T3" i="13"/>
  <c r="U3" i="13"/>
  <c r="T4" i="13"/>
  <c r="U4" i="13"/>
  <c r="X4" i="13" s="1"/>
  <c r="T5" i="13"/>
  <c r="U5" i="13"/>
  <c r="T6" i="13"/>
  <c r="U6" i="13"/>
  <c r="T7" i="13"/>
  <c r="U7" i="13"/>
  <c r="T4" i="6"/>
  <c r="T5" i="6"/>
  <c r="T6" i="6"/>
  <c r="T7" i="6"/>
  <c r="T3" i="6"/>
  <c r="S4" i="6"/>
  <c r="S5" i="6"/>
  <c r="S6" i="6"/>
  <c r="S7" i="6"/>
  <c r="W7" i="6" s="1"/>
  <c r="S3" i="6"/>
  <c r="T5" i="7"/>
  <c r="R6" i="7"/>
  <c r="S6" i="7" s="1"/>
  <c r="T7" i="7"/>
  <c r="S8" i="7"/>
  <c r="R4" i="7"/>
  <c r="T4" i="7" s="1"/>
  <c r="P4" i="11"/>
  <c r="R4" i="11" s="1"/>
  <c r="P5" i="11"/>
  <c r="R5" i="11" s="1"/>
  <c r="P6" i="11"/>
  <c r="R6" i="11" s="1"/>
  <c r="Q7" i="11"/>
  <c r="P8" i="11"/>
  <c r="Q8" i="11" s="1"/>
  <c r="P9" i="11"/>
  <c r="Q9" i="11" s="1"/>
  <c r="P10" i="11"/>
  <c r="Q10" i="11" s="1"/>
  <c r="Q11" i="11"/>
  <c r="R12" i="11"/>
  <c r="R13" i="11"/>
  <c r="R14" i="11"/>
  <c r="Q15" i="11"/>
  <c r="Q16" i="11"/>
  <c r="Q17" i="11"/>
  <c r="P18" i="11"/>
  <c r="Q18" i="11" s="1"/>
  <c r="P19" i="11"/>
  <c r="Q19" i="11" s="1"/>
  <c r="P20" i="11"/>
  <c r="R20" i="11" s="1"/>
  <c r="P21" i="11"/>
  <c r="R21" i="11" s="1"/>
  <c r="P22" i="11"/>
  <c r="R22" i="11" s="1"/>
  <c r="P23" i="11"/>
  <c r="Q23" i="11" s="1"/>
  <c r="P24" i="11"/>
  <c r="Q24" i="11" s="1"/>
  <c r="P25" i="11"/>
  <c r="Q25" i="11" s="1"/>
  <c r="P3" i="11"/>
  <c r="R3" i="11" s="1"/>
  <c r="Q4" i="9"/>
  <c r="R4" i="9" s="1"/>
  <c r="R5" i="9"/>
  <c r="Q6" i="9"/>
  <c r="R6" i="9" s="1"/>
  <c r="R7" i="9"/>
  <c r="Q8" i="9"/>
  <c r="R8" i="9" s="1"/>
  <c r="S9" i="9"/>
  <c r="R10" i="9"/>
  <c r="Q11" i="9"/>
  <c r="R11" i="9" s="1"/>
  <c r="Q12" i="9"/>
  <c r="R12" i="9" s="1"/>
  <c r="Q13" i="9"/>
  <c r="R13" i="9" s="1"/>
  <c r="Q14" i="9"/>
  <c r="R14" i="9" s="1"/>
  <c r="Q15" i="9"/>
  <c r="R15" i="9" s="1"/>
  <c r="R16" i="9"/>
  <c r="Q17" i="9"/>
  <c r="S17" i="9" s="1"/>
  <c r="R18" i="9"/>
  <c r="Q19" i="9"/>
  <c r="R19" i="9" s="1"/>
  <c r="Q20" i="9"/>
  <c r="R20" i="9" s="1"/>
  <c r="Q21" i="9"/>
  <c r="R21" i="9" s="1"/>
  <c r="Q22" i="9"/>
  <c r="S22" i="9" s="1"/>
  <c r="R22" i="9"/>
  <c r="R23" i="9"/>
  <c r="Q24" i="9"/>
  <c r="R24" i="9" s="1"/>
  <c r="S25" i="9"/>
  <c r="Q26" i="9"/>
  <c r="S26" i="9" s="1"/>
  <c r="R27" i="9"/>
  <c r="R28" i="9"/>
  <c r="R29" i="9"/>
  <c r="R30" i="9"/>
  <c r="R31" i="9"/>
  <c r="Q32" i="9"/>
  <c r="R32" i="9" s="1"/>
  <c r="Q33" i="9"/>
  <c r="S33" i="9" s="1"/>
  <c r="Q35" i="9"/>
  <c r="R35" i="9" s="1"/>
  <c r="Q36" i="9"/>
  <c r="R36" i="9" s="1"/>
  <c r="Q37" i="9"/>
  <c r="R37" i="9" s="1"/>
  <c r="Q38" i="9"/>
  <c r="S38" i="9" s="1"/>
  <c r="R39" i="9"/>
  <c r="R40" i="9"/>
  <c r="S41" i="9"/>
  <c r="Q42" i="9"/>
  <c r="R42" i="9" s="1"/>
  <c r="S42" i="9"/>
  <c r="Q3" i="9"/>
  <c r="S3" i="9" s="1"/>
  <c r="Q4" i="13"/>
  <c r="R7" i="13"/>
  <c r="R3" i="13"/>
  <c r="Q4" i="6"/>
  <c r="P5" i="6"/>
  <c r="Q6" i="6"/>
  <c r="P7" i="6"/>
  <c r="P3" i="6"/>
  <c r="Y42" i="9" l="1"/>
  <c r="Y26" i="9"/>
  <c r="Y38" i="9"/>
  <c r="Y41" i="9"/>
  <c r="Y28" i="9"/>
  <c r="Y24" i="9"/>
  <c r="Y31" i="9"/>
  <c r="Y27" i="9"/>
  <c r="Y11" i="9"/>
  <c r="W87" i="5"/>
  <c r="V44" i="5"/>
  <c r="V113" i="5"/>
  <c r="V114" i="5"/>
  <c r="W91" i="5"/>
  <c r="W88" i="5"/>
  <c r="V90" i="5"/>
  <c r="Z4" i="7"/>
  <c r="Z3" i="7"/>
  <c r="X3" i="11"/>
  <c r="X11" i="11"/>
  <c r="Q4" i="11"/>
  <c r="X4" i="11"/>
  <c r="X23" i="11"/>
  <c r="X17" i="11"/>
  <c r="Y20" i="9"/>
  <c r="Y19" i="9"/>
  <c r="Y15" i="9"/>
  <c r="Y18" i="9"/>
  <c r="Y7" i="9"/>
  <c r="Y32" i="9"/>
  <c r="Y21" i="9"/>
  <c r="Y10" i="9"/>
  <c r="S10" i="9"/>
  <c r="Y39" i="9"/>
  <c r="Y35" i="9"/>
  <c r="Y12" i="9"/>
  <c r="Y23" i="9"/>
  <c r="S14" i="9"/>
  <c r="S7" i="7"/>
  <c r="S5" i="7"/>
  <c r="Q22" i="11"/>
  <c r="Q20" i="11"/>
  <c r="Q14" i="11"/>
  <c r="Q12" i="11"/>
  <c r="Q6" i="11"/>
  <c r="R38" i="9"/>
  <c r="S30" i="9"/>
  <c r="R26" i="9"/>
  <c r="S18" i="9"/>
  <c r="S6" i="9"/>
  <c r="Z8" i="7"/>
  <c r="Z5" i="7"/>
  <c r="Z6" i="7"/>
  <c r="R19" i="11"/>
  <c r="R11" i="11"/>
  <c r="X18" i="11"/>
  <c r="X21" i="11"/>
  <c r="X14" i="11"/>
  <c r="X7" i="11"/>
  <c r="R18" i="11"/>
  <c r="R10" i="11"/>
  <c r="X24" i="11"/>
  <c r="X13" i="11"/>
  <c r="X6" i="11"/>
  <c r="X15" i="11"/>
  <c r="Q21" i="11"/>
  <c r="Q13" i="11"/>
  <c r="Q5" i="11"/>
  <c r="X22" i="11"/>
  <c r="X8" i="11"/>
  <c r="X19" i="11"/>
  <c r="Y5" i="9"/>
  <c r="Y8" i="9"/>
  <c r="Y9" i="9"/>
  <c r="Y25" i="9"/>
  <c r="R41" i="9"/>
  <c r="R33" i="9"/>
  <c r="R25" i="9"/>
  <c r="R17" i="9"/>
  <c r="R9" i="9"/>
  <c r="Y13" i="9"/>
  <c r="Y37" i="9"/>
  <c r="Y22" i="9"/>
  <c r="Y6" i="9"/>
  <c r="Y33" i="9"/>
  <c r="Y30" i="9"/>
  <c r="S35" i="9"/>
  <c r="S27" i="9"/>
  <c r="S19" i="9"/>
  <c r="S11" i="9"/>
  <c r="S39" i="9"/>
  <c r="S31" i="9"/>
  <c r="S23" i="9"/>
  <c r="S15" i="9"/>
  <c r="S7" i="9"/>
  <c r="Y3" i="9"/>
  <c r="Y29" i="9"/>
  <c r="Y17" i="9"/>
  <c r="Y14" i="9"/>
  <c r="W6" i="6"/>
  <c r="X7" i="13"/>
  <c r="X6" i="13"/>
  <c r="X5" i="13"/>
  <c r="W4" i="6"/>
  <c r="X3" i="13"/>
  <c r="Q3" i="6"/>
  <c r="W5" i="6"/>
  <c r="W3" i="6"/>
  <c r="T6" i="7"/>
  <c r="T8" i="7"/>
  <c r="S3" i="7"/>
  <c r="S4" i="7"/>
  <c r="R24" i="11"/>
  <c r="R16" i="11"/>
  <c r="R8" i="11"/>
  <c r="R23" i="11"/>
  <c r="R15" i="11"/>
  <c r="R7" i="11"/>
  <c r="R17" i="11"/>
  <c r="R9" i="11"/>
  <c r="R25" i="11"/>
  <c r="Q3" i="11"/>
  <c r="S40" i="9"/>
  <c r="S32" i="9"/>
  <c r="S24" i="9"/>
  <c r="S16" i="9"/>
  <c r="S8" i="9"/>
  <c r="S37" i="9"/>
  <c r="S29" i="9"/>
  <c r="S21" i="9"/>
  <c r="S13" i="9"/>
  <c r="S5" i="9"/>
  <c r="S36" i="9"/>
  <c r="S28" i="9"/>
  <c r="S20" i="9"/>
  <c r="S12" i="9"/>
  <c r="S4" i="9"/>
  <c r="R3" i="9"/>
  <c r="R6" i="13"/>
  <c r="Q7" i="13"/>
  <c r="R8" i="13"/>
  <c r="Q5" i="13"/>
  <c r="R4" i="13"/>
  <c r="Q3" i="13"/>
  <c r="P4" i="6"/>
  <c r="P6" i="6"/>
  <c r="Q7" i="6"/>
  <c r="Q5" i="6"/>
  <c r="F56" i="5" l="1"/>
  <c r="J34" i="9" l="1"/>
  <c r="C37" i="9"/>
  <c r="E37" i="9" s="1"/>
  <c r="E10" i="11"/>
  <c r="C10" i="9"/>
  <c r="E10" i="9" s="1"/>
  <c r="C32" i="9"/>
  <c r="E32" i="9" s="1"/>
  <c r="E21" i="10"/>
  <c r="U34" i="9" l="1"/>
  <c r="Y34" i="9" s="1"/>
  <c r="Q34" i="9"/>
  <c r="C34" i="9"/>
  <c r="E34" i="9" s="1"/>
  <c r="E8" i="13"/>
  <c r="E7" i="13"/>
  <c r="E6" i="13"/>
  <c r="E5" i="13"/>
  <c r="E4" i="13"/>
  <c r="E3" i="13"/>
  <c r="E25" i="11"/>
  <c r="R34" i="9" l="1"/>
  <c r="S34" i="9"/>
  <c r="E9" i="13"/>
  <c r="E10" i="13" s="1"/>
  <c r="F104" i="5" s="1"/>
  <c r="E7" i="6"/>
  <c r="C4" i="9"/>
  <c r="C5" i="9"/>
  <c r="C6" i="9"/>
  <c r="C7" i="9"/>
  <c r="C8" i="9"/>
  <c r="C9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3" i="9"/>
  <c r="C35" i="9"/>
  <c r="C36" i="9"/>
  <c r="C38" i="9"/>
  <c r="C39" i="9"/>
  <c r="C40" i="9"/>
  <c r="C41" i="9"/>
  <c r="C42" i="9"/>
  <c r="C3" i="9"/>
  <c r="C732" i="12" l="1"/>
  <c r="E732" i="12" s="1"/>
  <c r="C3" i="12"/>
  <c r="E3" i="12" s="1"/>
  <c r="C4" i="12"/>
  <c r="E4" i="12" s="1"/>
  <c r="C5" i="12"/>
  <c r="E5" i="12" s="1"/>
  <c r="C6" i="12"/>
  <c r="E6" i="12" s="1"/>
  <c r="C7" i="12"/>
  <c r="E7" i="12" s="1"/>
  <c r="C8" i="12"/>
  <c r="E8" i="12" s="1"/>
  <c r="C9" i="12"/>
  <c r="E9" i="12" s="1"/>
  <c r="C10" i="12"/>
  <c r="E10" i="12" s="1"/>
  <c r="C11" i="12"/>
  <c r="E11" i="12" s="1"/>
  <c r="C12" i="12"/>
  <c r="E12" i="12" s="1"/>
  <c r="C13" i="12"/>
  <c r="E13" i="12" s="1"/>
  <c r="C14" i="12"/>
  <c r="E14" i="12" s="1"/>
  <c r="C15" i="12"/>
  <c r="E15" i="12" s="1"/>
  <c r="C16" i="12"/>
  <c r="E16" i="12" s="1"/>
  <c r="C17" i="12"/>
  <c r="E17" i="12" s="1"/>
  <c r="C18" i="12"/>
  <c r="E18" i="12" s="1"/>
  <c r="C19" i="12"/>
  <c r="E19" i="12" s="1"/>
  <c r="C20" i="12"/>
  <c r="E20" i="12" s="1"/>
  <c r="C21" i="12"/>
  <c r="E21" i="12" s="1"/>
  <c r="C22" i="12"/>
  <c r="E22" i="12" s="1"/>
  <c r="C23" i="12"/>
  <c r="E23" i="12" s="1"/>
  <c r="C24" i="12"/>
  <c r="E24" i="12" s="1"/>
  <c r="C25" i="12"/>
  <c r="E25" i="12" s="1"/>
  <c r="C26" i="12"/>
  <c r="E26" i="12" s="1"/>
  <c r="C27" i="12"/>
  <c r="E27" i="12" s="1"/>
  <c r="C28" i="12"/>
  <c r="E28" i="12" s="1"/>
  <c r="C29" i="12"/>
  <c r="E29" i="12" s="1"/>
  <c r="C30" i="12"/>
  <c r="E30" i="12" s="1"/>
  <c r="C31" i="12"/>
  <c r="E31" i="12" s="1"/>
  <c r="C32" i="12"/>
  <c r="E32" i="12" s="1"/>
  <c r="C33" i="12"/>
  <c r="E33" i="12" s="1"/>
  <c r="C34" i="12"/>
  <c r="E34" i="12" s="1"/>
  <c r="C35" i="12"/>
  <c r="E35" i="12" s="1"/>
  <c r="C36" i="12"/>
  <c r="E36" i="12" s="1"/>
  <c r="C37" i="12"/>
  <c r="E37" i="12" s="1"/>
  <c r="C38" i="12"/>
  <c r="E38" i="12" s="1"/>
  <c r="C39" i="12"/>
  <c r="E39" i="12" s="1"/>
  <c r="C40" i="12"/>
  <c r="E40" i="12" s="1"/>
  <c r="C41" i="12"/>
  <c r="E41" i="12" s="1"/>
  <c r="C42" i="12"/>
  <c r="E42" i="12" s="1"/>
  <c r="C43" i="12"/>
  <c r="E43" i="12" s="1"/>
  <c r="C44" i="12"/>
  <c r="E44" i="12" s="1"/>
  <c r="C45" i="12"/>
  <c r="E45" i="12" s="1"/>
  <c r="C46" i="12"/>
  <c r="E46" i="12" s="1"/>
  <c r="C47" i="12"/>
  <c r="E47" i="12" s="1"/>
  <c r="C48" i="12"/>
  <c r="E48" i="12" s="1"/>
  <c r="C49" i="12"/>
  <c r="E49" i="12" s="1"/>
  <c r="C50" i="12"/>
  <c r="E50" i="12" s="1"/>
  <c r="C51" i="12"/>
  <c r="E51" i="12" s="1"/>
  <c r="C52" i="12"/>
  <c r="E52" i="12" s="1"/>
  <c r="C53" i="12"/>
  <c r="E53" i="12" s="1"/>
  <c r="C54" i="12"/>
  <c r="E54" i="12" s="1"/>
  <c r="C55" i="12"/>
  <c r="E55" i="12" s="1"/>
  <c r="C56" i="12"/>
  <c r="E56" i="12" s="1"/>
  <c r="C57" i="12"/>
  <c r="E57" i="12" s="1"/>
  <c r="C58" i="12"/>
  <c r="E58" i="12" s="1"/>
  <c r="C59" i="12"/>
  <c r="E59" i="12" s="1"/>
  <c r="C60" i="12"/>
  <c r="E60" i="12" s="1"/>
  <c r="C61" i="12"/>
  <c r="E61" i="12" s="1"/>
  <c r="C62" i="12"/>
  <c r="E62" i="12" s="1"/>
  <c r="C63" i="12"/>
  <c r="E63" i="12" s="1"/>
  <c r="C64" i="12"/>
  <c r="E64" i="12" s="1"/>
  <c r="C65" i="12"/>
  <c r="E65" i="12" s="1"/>
  <c r="C66" i="12"/>
  <c r="E66" i="12" s="1"/>
  <c r="C67" i="12"/>
  <c r="E67" i="12" s="1"/>
  <c r="C68" i="12"/>
  <c r="E68" i="12" s="1"/>
  <c r="C69" i="12"/>
  <c r="E69" i="12" s="1"/>
  <c r="C70" i="12"/>
  <c r="E70" i="12" s="1"/>
  <c r="C71" i="12"/>
  <c r="E71" i="12" s="1"/>
  <c r="C72" i="12"/>
  <c r="E72" i="12" s="1"/>
  <c r="C73" i="12"/>
  <c r="E73" i="12" s="1"/>
  <c r="C74" i="12"/>
  <c r="E74" i="12" s="1"/>
  <c r="C75" i="12"/>
  <c r="E75" i="12" s="1"/>
  <c r="C76" i="12"/>
  <c r="E76" i="12" s="1"/>
  <c r="C77" i="12"/>
  <c r="E77" i="12" s="1"/>
  <c r="C78" i="12"/>
  <c r="E78" i="12" s="1"/>
  <c r="C79" i="12"/>
  <c r="E79" i="12" s="1"/>
  <c r="C80" i="12"/>
  <c r="E80" i="12" s="1"/>
  <c r="C81" i="12"/>
  <c r="E81" i="12" s="1"/>
  <c r="C82" i="12"/>
  <c r="E82" i="12" s="1"/>
  <c r="C83" i="12"/>
  <c r="E83" i="12" s="1"/>
  <c r="C84" i="12"/>
  <c r="E84" i="12" s="1"/>
  <c r="C85" i="12"/>
  <c r="E85" i="12" s="1"/>
  <c r="C86" i="12"/>
  <c r="E86" i="12" s="1"/>
  <c r="C87" i="12"/>
  <c r="E87" i="12" s="1"/>
  <c r="C88" i="12"/>
  <c r="E88" i="12" s="1"/>
  <c r="C89" i="12"/>
  <c r="E89" i="12" s="1"/>
  <c r="C90" i="12"/>
  <c r="E90" i="12" s="1"/>
  <c r="C91" i="12"/>
  <c r="E91" i="12" s="1"/>
  <c r="C92" i="12"/>
  <c r="E92" i="12" s="1"/>
  <c r="C93" i="12"/>
  <c r="E93" i="12" s="1"/>
  <c r="C94" i="12"/>
  <c r="E94" i="12" s="1"/>
  <c r="C95" i="12"/>
  <c r="E95" i="12" s="1"/>
  <c r="C96" i="12"/>
  <c r="E96" i="12" s="1"/>
  <c r="C97" i="12"/>
  <c r="E97" i="12" s="1"/>
  <c r="C98" i="12"/>
  <c r="E98" i="12" s="1"/>
  <c r="C99" i="12"/>
  <c r="E99" i="12" s="1"/>
  <c r="C100" i="12"/>
  <c r="E100" i="12" s="1"/>
  <c r="C101" i="12"/>
  <c r="E101" i="12" s="1"/>
  <c r="C102" i="12"/>
  <c r="E102" i="12" s="1"/>
  <c r="C103" i="12"/>
  <c r="E103" i="12" s="1"/>
  <c r="C104" i="12"/>
  <c r="E104" i="12" s="1"/>
  <c r="C105" i="12"/>
  <c r="E105" i="12" s="1"/>
  <c r="C106" i="12"/>
  <c r="E106" i="12" s="1"/>
  <c r="C107" i="12"/>
  <c r="E107" i="12" s="1"/>
  <c r="C108" i="12"/>
  <c r="E108" i="12" s="1"/>
  <c r="C109" i="12"/>
  <c r="E109" i="12" s="1"/>
  <c r="C110" i="12"/>
  <c r="E110" i="12" s="1"/>
  <c r="C111" i="12"/>
  <c r="E111" i="12" s="1"/>
  <c r="C112" i="12"/>
  <c r="E112" i="12" s="1"/>
  <c r="C113" i="12"/>
  <c r="E113" i="12" s="1"/>
  <c r="C114" i="12"/>
  <c r="E114" i="12" s="1"/>
  <c r="C115" i="12"/>
  <c r="E115" i="12" s="1"/>
  <c r="C116" i="12"/>
  <c r="E116" i="12" s="1"/>
  <c r="C117" i="12"/>
  <c r="E117" i="12" s="1"/>
  <c r="C118" i="12"/>
  <c r="E118" i="12" s="1"/>
  <c r="C119" i="12"/>
  <c r="E119" i="12" s="1"/>
  <c r="C120" i="12"/>
  <c r="E120" i="12" s="1"/>
  <c r="C121" i="12"/>
  <c r="E121" i="12" s="1"/>
  <c r="C122" i="12"/>
  <c r="E122" i="12" s="1"/>
  <c r="C123" i="12"/>
  <c r="E123" i="12" s="1"/>
  <c r="C124" i="12"/>
  <c r="E124" i="12" s="1"/>
  <c r="C125" i="12"/>
  <c r="E125" i="12" s="1"/>
  <c r="C126" i="12"/>
  <c r="E126" i="12" s="1"/>
  <c r="C127" i="12"/>
  <c r="E127" i="12" s="1"/>
  <c r="C128" i="12"/>
  <c r="E128" i="12" s="1"/>
  <c r="C129" i="12"/>
  <c r="E129" i="12" s="1"/>
  <c r="C130" i="12"/>
  <c r="E130" i="12" s="1"/>
  <c r="C131" i="12"/>
  <c r="E131" i="12" s="1"/>
  <c r="C132" i="12"/>
  <c r="E132" i="12" s="1"/>
  <c r="C133" i="12"/>
  <c r="E133" i="12" s="1"/>
  <c r="C134" i="12"/>
  <c r="E134" i="12" s="1"/>
  <c r="C135" i="12"/>
  <c r="E135" i="12" s="1"/>
  <c r="C136" i="12"/>
  <c r="E136" i="12" s="1"/>
  <c r="C137" i="12"/>
  <c r="E137" i="12" s="1"/>
  <c r="C138" i="12"/>
  <c r="E138" i="12" s="1"/>
  <c r="C139" i="12"/>
  <c r="E139" i="12" s="1"/>
  <c r="C140" i="12"/>
  <c r="E140" i="12" s="1"/>
  <c r="C141" i="12"/>
  <c r="E141" i="12" s="1"/>
  <c r="C142" i="12"/>
  <c r="E142" i="12" s="1"/>
  <c r="C143" i="12"/>
  <c r="E143" i="12" s="1"/>
  <c r="C144" i="12"/>
  <c r="E144" i="12" s="1"/>
  <c r="C145" i="12"/>
  <c r="E145" i="12" s="1"/>
  <c r="C146" i="12"/>
  <c r="E146" i="12" s="1"/>
  <c r="C147" i="12"/>
  <c r="E147" i="12" s="1"/>
  <c r="C148" i="12"/>
  <c r="E148" i="12" s="1"/>
  <c r="C149" i="12"/>
  <c r="E149" i="12" s="1"/>
  <c r="C150" i="12"/>
  <c r="E150" i="12" s="1"/>
  <c r="C151" i="12"/>
  <c r="E151" i="12" s="1"/>
  <c r="C152" i="12"/>
  <c r="E152" i="12" s="1"/>
  <c r="C153" i="12"/>
  <c r="E153" i="12" s="1"/>
  <c r="C154" i="12"/>
  <c r="E154" i="12" s="1"/>
  <c r="C155" i="12"/>
  <c r="E155" i="12" s="1"/>
  <c r="C156" i="12"/>
  <c r="E156" i="12" s="1"/>
  <c r="C157" i="12"/>
  <c r="E157" i="12" s="1"/>
  <c r="C158" i="12"/>
  <c r="E158" i="12" s="1"/>
  <c r="C159" i="12"/>
  <c r="E159" i="12" s="1"/>
  <c r="C160" i="12"/>
  <c r="E160" i="12" s="1"/>
  <c r="C161" i="12"/>
  <c r="E161" i="12" s="1"/>
  <c r="C162" i="12"/>
  <c r="E162" i="12" s="1"/>
  <c r="C163" i="12"/>
  <c r="E163" i="12" s="1"/>
  <c r="C164" i="12"/>
  <c r="E164" i="12" s="1"/>
  <c r="C165" i="12"/>
  <c r="E165" i="12" s="1"/>
  <c r="C166" i="12"/>
  <c r="E166" i="12" s="1"/>
  <c r="C167" i="12"/>
  <c r="E167" i="12" s="1"/>
  <c r="C168" i="12"/>
  <c r="E168" i="12" s="1"/>
  <c r="C169" i="12"/>
  <c r="E169" i="12" s="1"/>
  <c r="C170" i="12"/>
  <c r="E170" i="12" s="1"/>
  <c r="C171" i="12"/>
  <c r="E171" i="12" s="1"/>
  <c r="C172" i="12"/>
  <c r="E172" i="12" s="1"/>
  <c r="C173" i="12"/>
  <c r="E173" i="12" s="1"/>
  <c r="C174" i="12"/>
  <c r="E174" i="12" s="1"/>
  <c r="C175" i="12"/>
  <c r="E175" i="12" s="1"/>
  <c r="C176" i="12"/>
  <c r="E176" i="12" s="1"/>
  <c r="C177" i="12"/>
  <c r="E177" i="12" s="1"/>
  <c r="C178" i="12"/>
  <c r="E178" i="12" s="1"/>
  <c r="C179" i="12"/>
  <c r="E179" i="12" s="1"/>
  <c r="C180" i="12"/>
  <c r="E180" i="12" s="1"/>
  <c r="C181" i="12"/>
  <c r="E181" i="12" s="1"/>
  <c r="C182" i="12"/>
  <c r="E182" i="12" s="1"/>
  <c r="C183" i="12"/>
  <c r="E183" i="12" s="1"/>
  <c r="C184" i="12"/>
  <c r="E184" i="12" s="1"/>
  <c r="C185" i="12"/>
  <c r="E185" i="12" s="1"/>
  <c r="C186" i="12"/>
  <c r="E186" i="12" s="1"/>
  <c r="C187" i="12"/>
  <c r="E187" i="12" s="1"/>
  <c r="C188" i="12"/>
  <c r="E188" i="12" s="1"/>
  <c r="C189" i="12"/>
  <c r="E189" i="12" s="1"/>
  <c r="C190" i="12"/>
  <c r="E190" i="12" s="1"/>
  <c r="C191" i="12"/>
  <c r="E191" i="12" s="1"/>
  <c r="C192" i="12"/>
  <c r="E192" i="12" s="1"/>
  <c r="C193" i="12"/>
  <c r="E193" i="12" s="1"/>
  <c r="C194" i="12"/>
  <c r="E194" i="12" s="1"/>
  <c r="C195" i="12"/>
  <c r="E195" i="12" s="1"/>
  <c r="C196" i="12"/>
  <c r="E196" i="12" s="1"/>
  <c r="C197" i="12"/>
  <c r="E197" i="12" s="1"/>
  <c r="C198" i="12"/>
  <c r="E198" i="12" s="1"/>
  <c r="C199" i="12"/>
  <c r="E199" i="12" s="1"/>
  <c r="C200" i="12"/>
  <c r="E200" i="12" s="1"/>
  <c r="C201" i="12"/>
  <c r="E201" i="12" s="1"/>
  <c r="C202" i="12"/>
  <c r="E202" i="12" s="1"/>
  <c r="C203" i="12"/>
  <c r="E203" i="12" s="1"/>
  <c r="C204" i="12"/>
  <c r="E204" i="12" s="1"/>
  <c r="C205" i="12"/>
  <c r="E205" i="12" s="1"/>
  <c r="C206" i="12"/>
  <c r="E206" i="12" s="1"/>
  <c r="C207" i="12"/>
  <c r="E207" i="12" s="1"/>
  <c r="C208" i="12"/>
  <c r="E208" i="12" s="1"/>
  <c r="C209" i="12"/>
  <c r="E209" i="12" s="1"/>
  <c r="C210" i="12"/>
  <c r="E210" i="12" s="1"/>
  <c r="C211" i="12"/>
  <c r="E211" i="12" s="1"/>
  <c r="C212" i="12"/>
  <c r="E212" i="12" s="1"/>
  <c r="C213" i="12"/>
  <c r="E213" i="12" s="1"/>
  <c r="C214" i="12"/>
  <c r="E214" i="12" s="1"/>
  <c r="C215" i="12"/>
  <c r="E215" i="12" s="1"/>
  <c r="C216" i="12"/>
  <c r="E216" i="12" s="1"/>
  <c r="C217" i="12"/>
  <c r="E217" i="12" s="1"/>
  <c r="C218" i="12"/>
  <c r="E218" i="12" s="1"/>
  <c r="C219" i="12"/>
  <c r="E219" i="12" s="1"/>
  <c r="C220" i="12"/>
  <c r="E220" i="12" s="1"/>
  <c r="C221" i="12"/>
  <c r="E221" i="12" s="1"/>
  <c r="C222" i="12"/>
  <c r="E222" i="12" s="1"/>
  <c r="C223" i="12"/>
  <c r="E223" i="12" s="1"/>
  <c r="C224" i="12"/>
  <c r="E224" i="12" s="1"/>
  <c r="C225" i="12"/>
  <c r="E225" i="12" s="1"/>
  <c r="C226" i="12"/>
  <c r="E226" i="12" s="1"/>
  <c r="C227" i="12"/>
  <c r="E227" i="12" s="1"/>
  <c r="C228" i="12"/>
  <c r="E228" i="12" s="1"/>
  <c r="C229" i="12"/>
  <c r="E229" i="12" s="1"/>
  <c r="C230" i="12"/>
  <c r="E230" i="12" s="1"/>
  <c r="C231" i="12"/>
  <c r="E231" i="12" s="1"/>
  <c r="C232" i="12"/>
  <c r="E232" i="12" s="1"/>
  <c r="C233" i="12"/>
  <c r="E233" i="12" s="1"/>
  <c r="C234" i="12"/>
  <c r="E234" i="12" s="1"/>
  <c r="C235" i="12"/>
  <c r="E235" i="12" s="1"/>
  <c r="C236" i="12"/>
  <c r="E236" i="12" s="1"/>
  <c r="C237" i="12"/>
  <c r="E237" i="12" s="1"/>
  <c r="C238" i="12"/>
  <c r="E238" i="12" s="1"/>
  <c r="C239" i="12"/>
  <c r="E239" i="12" s="1"/>
  <c r="C240" i="12"/>
  <c r="E240" i="12" s="1"/>
  <c r="C241" i="12"/>
  <c r="E241" i="12" s="1"/>
  <c r="C242" i="12"/>
  <c r="E242" i="12" s="1"/>
  <c r="C243" i="12"/>
  <c r="E243" i="12" s="1"/>
  <c r="C244" i="12"/>
  <c r="E244" i="12" s="1"/>
  <c r="C245" i="12"/>
  <c r="E245" i="12" s="1"/>
  <c r="C246" i="12"/>
  <c r="E246" i="12" s="1"/>
  <c r="C247" i="12"/>
  <c r="E247" i="12" s="1"/>
  <c r="C248" i="12"/>
  <c r="E248" i="12" s="1"/>
  <c r="C249" i="12"/>
  <c r="E249" i="12" s="1"/>
  <c r="C250" i="12"/>
  <c r="E250" i="12" s="1"/>
  <c r="C251" i="12"/>
  <c r="E251" i="12" s="1"/>
  <c r="C252" i="12"/>
  <c r="E252" i="12" s="1"/>
  <c r="C253" i="12"/>
  <c r="E253" i="12" s="1"/>
  <c r="C254" i="12"/>
  <c r="E254" i="12" s="1"/>
  <c r="C255" i="12"/>
  <c r="E255" i="12" s="1"/>
  <c r="C256" i="12"/>
  <c r="E256" i="12" s="1"/>
  <c r="C257" i="12"/>
  <c r="E257" i="12" s="1"/>
  <c r="C258" i="12"/>
  <c r="E258" i="12" s="1"/>
  <c r="C259" i="12"/>
  <c r="E259" i="12" s="1"/>
  <c r="C260" i="12"/>
  <c r="E260" i="12" s="1"/>
  <c r="C261" i="12"/>
  <c r="E261" i="12" s="1"/>
  <c r="C262" i="12"/>
  <c r="E262" i="12" s="1"/>
  <c r="C263" i="12"/>
  <c r="E263" i="12" s="1"/>
  <c r="C264" i="12"/>
  <c r="E264" i="12" s="1"/>
  <c r="C265" i="12"/>
  <c r="E265" i="12" s="1"/>
  <c r="C266" i="12"/>
  <c r="E266" i="12" s="1"/>
  <c r="C267" i="12"/>
  <c r="E267" i="12" s="1"/>
  <c r="C268" i="12"/>
  <c r="E268" i="12" s="1"/>
  <c r="C269" i="12"/>
  <c r="E269" i="12" s="1"/>
  <c r="C270" i="12"/>
  <c r="E270" i="12" s="1"/>
  <c r="C271" i="12"/>
  <c r="E271" i="12" s="1"/>
  <c r="C272" i="12"/>
  <c r="E272" i="12" s="1"/>
  <c r="C273" i="12"/>
  <c r="E273" i="12" s="1"/>
  <c r="C274" i="12"/>
  <c r="E274" i="12" s="1"/>
  <c r="C275" i="12"/>
  <c r="E275" i="12" s="1"/>
  <c r="C276" i="12"/>
  <c r="E276" i="12" s="1"/>
  <c r="C277" i="12"/>
  <c r="E277" i="12" s="1"/>
  <c r="C278" i="12"/>
  <c r="E278" i="12" s="1"/>
  <c r="C279" i="12"/>
  <c r="E279" i="12" s="1"/>
  <c r="C280" i="12"/>
  <c r="E280" i="12" s="1"/>
  <c r="C281" i="12"/>
  <c r="E281" i="12" s="1"/>
  <c r="C282" i="12"/>
  <c r="E282" i="12" s="1"/>
  <c r="C283" i="12"/>
  <c r="E283" i="12" s="1"/>
  <c r="C284" i="12"/>
  <c r="E284" i="12" s="1"/>
  <c r="C285" i="12"/>
  <c r="E285" i="12" s="1"/>
  <c r="C286" i="12"/>
  <c r="E286" i="12" s="1"/>
  <c r="C287" i="12"/>
  <c r="E287" i="12" s="1"/>
  <c r="C288" i="12"/>
  <c r="E288" i="12" s="1"/>
  <c r="C289" i="12"/>
  <c r="E289" i="12" s="1"/>
  <c r="C290" i="12"/>
  <c r="E290" i="12" s="1"/>
  <c r="C291" i="12"/>
  <c r="E291" i="12" s="1"/>
  <c r="C292" i="12"/>
  <c r="E292" i="12" s="1"/>
  <c r="C293" i="12"/>
  <c r="E293" i="12" s="1"/>
  <c r="C294" i="12"/>
  <c r="E294" i="12" s="1"/>
  <c r="C295" i="12"/>
  <c r="E295" i="12" s="1"/>
  <c r="C296" i="12"/>
  <c r="E296" i="12" s="1"/>
  <c r="C297" i="12"/>
  <c r="E297" i="12" s="1"/>
  <c r="C298" i="12"/>
  <c r="E298" i="12" s="1"/>
  <c r="C299" i="12"/>
  <c r="E299" i="12" s="1"/>
  <c r="C300" i="12"/>
  <c r="E300" i="12" s="1"/>
  <c r="C301" i="12"/>
  <c r="E301" i="12" s="1"/>
  <c r="C302" i="12"/>
  <c r="E302" i="12" s="1"/>
  <c r="C303" i="12"/>
  <c r="E303" i="12" s="1"/>
  <c r="C304" i="12"/>
  <c r="E304" i="12" s="1"/>
  <c r="C305" i="12"/>
  <c r="E305" i="12" s="1"/>
  <c r="C306" i="12"/>
  <c r="E306" i="12" s="1"/>
  <c r="C307" i="12"/>
  <c r="E307" i="12" s="1"/>
  <c r="C308" i="12"/>
  <c r="E308" i="12" s="1"/>
  <c r="C309" i="12"/>
  <c r="E309" i="12" s="1"/>
  <c r="C310" i="12"/>
  <c r="E310" i="12" s="1"/>
  <c r="C311" i="12"/>
  <c r="E311" i="12" s="1"/>
  <c r="C312" i="12"/>
  <c r="E312" i="12" s="1"/>
  <c r="C313" i="12"/>
  <c r="E313" i="12" s="1"/>
  <c r="C314" i="12"/>
  <c r="E314" i="12" s="1"/>
  <c r="C315" i="12"/>
  <c r="E315" i="12" s="1"/>
  <c r="C316" i="12"/>
  <c r="E316" i="12" s="1"/>
  <c r="C317" i="12"/>
  <c r="E317" i="12" s="1"/>
  <c r="C318" i="12"/>
  <c r="E318" i="12" s="1"/>
  <c r="C319" i="12"/>
  <c r="E319" i="12" s="1"/>
  <c r="C320" i="12"/>
  <c r="E320" i="12" s="1"/>
  <c r="C321" i="12"/>
  <c r="E321" i="12" s="1"/>
  <c r="C322" i="12"/>
  <c r="E322" i="12" s="1"/>
  <c r="C323" i="12"/>
  <c r="E323" i="12" s="1"/>
  <c r="C324" i="12"/>
  <c r="E324" i="12" s="1"/>
  <c r="C325" i="12"/>
  <c r="E325" i="12" s="1"/>
  <c r="C326" i="12"/>
  <c r="E326" i="12" s="1"/>
  <c r="C327" i="12"/>
  <c r="E327" i="12" s="1"/>
  <c r="C328" i="12"/>
  <c r="E328" i="12" s="1"/>
  <c r="C329" i="12"/>
  <c r="E329" i="12" s="1"/>
  <c r="C330" i="12"/>
  <c r="E330" i="12" s="1"/>
  <c r="C331" i="12"/>
  <c r="E331" i="12" s="1"/>
  <c r="C332" i="12"/>
  <c r="E332" i="12" s="1"/>
  <c r="C333" i="12"/>
  <c r="E333" i="12" s="1"/>
  <c r="C334" i="12"/>
  <c r="E334" i="12" s="1"/>
  <c r="C335" i="12"/>
  <c r="E335" i="12" s="1"/>
  <c r="C336" i="12"/>
  <c r="E336" i="12" s="1"/>
  <c r="C337" i="12"/>
  <c r="E337" i="12" s="1"/>
  <c r="C338" i="12"/>
  <c r="E338" i="12" s="1"/>
  <c r="C339" i="12"/>
  <c r="E339" i="12" s="1"/>
  <c r="C340" i="12"/>
  <c r="E340" i="12" s="1"/>
  <c r="C341" i="12"/>
  <c r="E341" i="12" s="1"/>
  <c r="C342" i="12"/>
  <c r="E342" i="12" s="1"/>
  <c r="C343" i="12"/>
  <c r="E343" i="12" s="1"/>
  <c r="C344" i="12"/>
  <c r="E344" i="12" s="1"/>
  <c r="C345" i="12"/>
  <c r="E345" i="12" s="1"/>
  <c r="C346" i="12"/>
  <c r="E346" i="12" s="1"/>
  <c r="C347" i="12"/>
  <c r="E347" i="12" s="1"/>
  <c r="C348" i="12"/>
  <c r="E348" i="12" s="1"/>
  <c r="C349" i="12"/>
  <c r="E349" i="12" s="1"/>
  <c r="C350" i="12"/>
  <c r="E350" i="12" s="1"/>
  <c r="C351" i="12"/>
  <c r="E351" i="12" s="1"/>
  <c r="C352" i="12"/>
  <c r="E352" i="12" s="1"/>
  <c r="C353" i="12"/>
  <c r="E353" i="12" s="1"/>
  <c r="C354" i="12"/>
  <c r="E354" i="12" s="1"/>
  <c r="C355" i="12"/>
  <c r="E355" i="12" s="1"/>
  <c r="C356" i="12"/>
  <c r="E356" i="12" s="1"/>
  <c r="C357" i="12"/>
  <c r="E357" i="12" s="1"/>
  <c r="C358" i="12"/>
  <c r="E358" i="12" s="1"/>
  <c r="C359" i="12"/>
  <c r="E359" i="12" s="1"/>
  <c r="C360" i="12"/>
  <c r="E360" i="12" s="1"/>
  <c r="C361" i="12"/>
  <c r="E361" i="12" s="1"/>
  <c r="C362" i="12"/>
  <c r="E362" i="12" s="1"/>
  <c r="C363" i="12"/>
  <c r="E363" i="12" s="1"/>
  <c r="C364" i="12"/>
  <c r="E364" i="12" s="1"/>
  <c r="C365" i="12"/>
  <c r="E365" i="12" s="1"/>
  <c r="C366" i="12"/>
  <c r="E366" i="12" s="1"/>
  <c r="C367" i="12"/>
  <c r="E367" i="12" s="1"/>
  <c r="C368" i="12"/>
  <c r="E368" i="12" s="1"/>
  <c r="C369" i="12"/>
  <c r="E369" i="12" s="1"/>
  <c r="C370" i="12"/>
  <c r="E370" i="12" s="1"/>
  <c r="C371" i="12"/>
  <c r="E371" i="12" s="1"/>
  <c r="C372" i="12"/>
  <c r="E372" i="12" s="1"/>
  <c r="C373" i="12"/>
  <c r="E373" i="12" s="1"/>
  <c r="C374" i="12"/>
  <c r="E374" i="12" s="1"/>
  <c r="C375" i="12"/>
  <c r="E375" i="12" s="1"/>
  <c r="C376" i="12"/>
  <c r="E376" i="12" s="1"/>
  <c r="C377" i="12"/>
  <c r="E377" i="12" s="1"/>
  <c r="C378" i="12"/>
  <c r="E378" i="12" s="1"/>
  <c r="C379" i="12"/>
  <c r="E379" i="12" s="1"/>
  <c r="C380" i="12"/>
  <c r="E380" i="12" s="1"/>
  <c r="C381" i="12"/>
  <c r="E381" i="12" s="1"/>
  <c r="C382" i="12"/>
  <c r="E382" i="12" s="1"/>
  <c r="C383" i="12"/>
  <c r="E383" i="12" s="1"/>
  <c r="C384" i="12"/>
  <c r="E384" i="12" s="1"/>
  <c r="C385" i="12"/>
  <c r="E385" i="12" s="1"/>
  <c r="C386" i="12"/>
  <c r="E386" i="12" s="1"/>
  <c r="C387" i="12"/>
  <c r="E387" i="12" s="1"/>
  <c r="C388" i="12"/>
  <c r="E388" i="12" s="1"/>
  <c r="C389" i="12"/>
  <c r="E389" i="12" s="1"/>
  <c r="C390" i="12"/>
  <c r="E390" i="12" s="1"/>
  <c r="C391" i="12"/>
  <c r="E391" i="12" s="1"/>
  <c r="C392" i="12"/>
  <c r="E392" i="12" s="1"/>
  <c r="C393" i="12"/>
  <c r="E393" i="12" s="1"/>
  <c r="C394" i="12"/>
  <c r="E394" i="12" s="1"/>
  <c r="C395" i="12"/>
  <c r="E395" i="12" s="1"/>
  <c r="C396" i="12"/>
  <c r="E396" i="12" s="1"/>
  <c r="C397" i="12"/>
  <c r="E397" i="12" s="1"/>
  <c r="C398" i="12"/>
  <c r="E398" i="12" s="1"/>
  <c r="C399" i="12"/>
  <c r="E399" i="12" s="1"/>
  <c r="C400" i="12"/>
  <c r="E400" i="12" s="1"/>
  <c r="C401" i="12"/>
  <c r="E401" i="12" s="1"/>
  <c r="C402" i="12"/>
  <c r="E402" i="12" s="1"/>
  <c r="C403" i="12"/>
  <c r="E403" i="12" s="1"/>
  <c r="C404" i="12"/>
  <c r="E404" i="12" s="1"/>
  <c r="C405" i="12"/>
  <c r="E405" i="12" s="1"/>
  <c r="C406" i="12"/>
  <c r="E406" i="12" s="1"/>
  <c r="C407" i="12"/>
  <c r="E407" i="12" s="1"/>
  <c r="C408" i="12"/>
  <c r="E408" i="12" s="1"/>
  <c r="C409" i="12"/>
  <c r="E409" i="12" s="1"/>
  <c r="C410" i="12"/>
  <c r="E410" i="12" s="1"/>
  <c r="C411" i="12"/>
  <c r="E411" i="12" s="1"/>
  <c r="C412" i="12"/>
  <c r="E412" i="12" s="1"/>
  <c r="C413" i="12"/>
  <c r="E413" i="12" s="1"/>
  <c r="C414" i="12"/>
  <c r="E414" i="12" s="1"/>
  <c r="C415" i="12"/>
  <c r="E415" i="12" s="1"/>
  <c r="C416" i="12"/>
  <c r="E416" i="12" s="1"/>
  <c r="C417" i="12"/>
  <c r="E417" i="12" s="1"/>
  <c r="C418" i="12"/>
  <c r="E418" i="12" s="1"/>
  <c r="C419" i="12"/>
  <c r="E419" i="12" s="1"/>
  <c r="C420" i="12"/>
  <c r="E420" i="12" s="1"/>
  <c r="C421" i="12"/>
  <c r="E421" i="12" s="1"/>
  <c r="C422" i="12"/>
  <c r="E422" i="12" s="1"/>
  <c r="C423" i="12"/>
  <c r="E423" i="12" s="1"/>
  <c r="C424" i="12"/>
  <c r="E424" i="12" s="1"/>
  <c r="C425" i="12"/>
  <c r="E425" i="12" s="1"/>
  <c r="C426" i="12"/>
  <c r="E426" i="12" s="1"/>
  <c r="C427" i="12"/>
  <c r="E427" i="12" s="1"/>
  <c r="C428" i="12"/>
  <c r="E428" i="12" s="1"/>
  <c r="C429" i="12"/>
  <c r="E429" i="12" s="1"/>
  <c r="C430" i="12"/>
  <c r="E430" i="12" s="1"/>
  <c r="C431" i="12"/>
  <c r="E431" i="12" s="1"/>
  <c r="C432" i="12"/>
  <c r="E432" i="12" s="1"/>
  <c r="C433" i="12"/>
  <c r="E433" i="12" s="1"/>
  <c r="C434" i="12"/>
  <c r="E434" i="12" s="1"/>
  <c r="C435" i="12"/>
  <c r="E435" i="12" s="1"/>
  <c r="C436" i="12"/>
  <c r="E436" i="12" s="1"/>
  <c r="C437" i="12"/>
  <c r="E437" i="12" s="1"/>
  <c r="C438" i="12"/>
  <c r="E438" i="12" s="1"/>
  <c r="C439" i="12"/>
  <c r="E439" i="12" s="1"/>
  <c r="C440" i="12"/>
  <c r="E440" i="12" s="1"/>
  <c r="C441" i="12"/>
  <c r="E441" i="12" s="1"/>
  <c r="C442" i="12"/>
  <c r="E442" i="12" s="1"/>
  <c r="C443" i="12"/>
  <c r="E443" i="12" s="1"/>
  <c r="C444" i="12"/>
  <c r="E444" i="12" s="1"/>
  <c r="C445" i="12"/>
  <c r="E445" i="12" s="1"/>
  <c r="C446" i="12"/>
  <c r="E446" i="12" s="1"/>
  <c r="C447" i="12"/>
  <c r="E447" i="12" s="1"/>
  <c r="C448" i="12"/>
  <c r="E448" i="12" s="1"/>
  <c r="C449" i="12"/>
  <c r="E449" i="12" s="1"/>
  <c r="C450" i="12"/>
  <c r="E450" i="12" s="1"/>
  <c r="C451" i="12"/>
  <c r="E451" i="12" s="1"/>
  <c r="C452" i="12"/>
  <c r="E452" i="12" s="1"/>
  <c r="C453" i="12"/>
  <c r="E453" i="12" s="1"/>
  <c r="C454" i="12"/>
  <c r="E454" i="12" s="1"/>
  <c r="C455" i="12"/>
  <c r="E455" i="12" s="1"/>
  <c r="C456" i="12"/>
  <c r="E456" i="12" s="1"/>
  <c r="C457" i="12"/>
  <c r="E457" i="12" s="1"/>
  <c r="C458" i="12"/>
  <c r="E458" i="12" s="1"/>
  <c r="C459" i="12"/>
  <c r="E459" i="12" s="1"/>
  <c r="C460" i="12"/>
  <c r="E460" i="12" s="1"/>
  <c r="C461" i="12"/>
  <c r="E461" i="12" s="1"/>
  <c r="C462" i="12"/>
  <c r="E462" i="12" s="1"/>
  <c r="C463" i="12"/>
  <c r="E463" i="12" s="1"/>
  <c r="C464" i="12"/>
  <c r="E464" i="12" s="1"/>
  <c r="C465" i="12"/>
  <c r="E465" i="12" s="1"/>
  <c r="C466" i="12"/>
  <c r="E466" i="12" s="1"/>
  <c r="C467" i="12"/>
  <c r="E467" i="12" s="1"/>
  <c r="C468" i="12"/>
  <c r="E468" i="12" s="1"/>
  <c r="C469" i="12"/>
  <c r="E469" i="12" s="1"/>
  <c r="C470" i="12"/>
  <c r="E470" i="12" s="1"/>
  <c r="C471" i="12"/>
  <c r="E471" i="12" s="1"/>
  <c r="C472" i="12"/>
  <c r="E472" i="12" s="1"/>
  <c r="C473" i="12"/>
  <c r="E473" i="12" s="1"/>
  <c r="C474" i="12"/>
  <c r="E474" i="12" s="1"/>
  <c r="C475" i="12"/>
  <c r="E475" i="12" s="1"/>
  <c r="C476" i="12"/>
  <c r="E476" i="12" s="1"/>
  <c r="C477" i="12"/>
  <c r="E477" i="12" s="1"/>
  <c r="C478" i="12"/>
  <c r="E478" i="12" s="1"/>
  <c r="C479" i="12"/>
  <c r="E479" i="12" s="1"/>
  <c r="C480" i="12"/>
  <c r="E480" i="12" s="1"/>
  <c r="C481" i="12"/>
  <c r="E481" i="12" s="1"/>
  <c r="C482" i="12"/>
  <c r="E482" i="12" s="1"/>
  <c r="C483" i="12"/>
  <c r="E483" i="12" s="1"/>
  <c r="C484" i="12"/>
  <c r="E484" i="12" s="1"/>
  <c r="C485" i="12"/>
  <c r="E485" i="12" s="1"/>
  <c r="C486" i="12"/>
  <c r="E486" i="12" s="1"/>
  <c r="C487" i="12"/>
  <c r="E487" i="12" s="1"/>
  <c r="C488" i="12"/>
  <c r="E488" i="12" s="1"/>
  <c r="C489" i="12"/>
  <c r="E489" i="12" s="1"/>
  <c r="C490" i="12"/>
  <c r="E490" i="12" s="1"/>
  <c r="C491" i="12"/>
  <c r="E491" i="12" s="1"/>
  <c r="C492" i="12"/>
  <c r="E492" i="12" s="1"/>
  <c r="C493" i="12"/>
  <c r="E493" i="12" s="1"/>
  <c r="C494" i="12"/>
  <c r="E494" i="12" s="1"/>
  <c r="C495" i="12"/>
  <c r="E495" i="12" s="1"/>
  <c r="C496" i="12"/>
  <c r="E496" i="12" s="1"/>
  <c r="C497" i="12"/>
  <c r="E497" i="12" s="1"/>
  <c r="C498" i="12"/>
  <c r="E498" i="12" s="1"/>
  <c r="C499" i="12"/>
  <c r="E499" i="12" s="1"/>
  <c r="C500" i="12"/>
  <c r="E500" i="12" s="1"/>
  <c r="C501" i="12"/>
  <c r="E501" i="12" s="1"/>
  <c r="C502" i="12"/>
  <c r="E502" i="12" s="1"/>
  <c r="C503" i="12"/>
  <c r="E503" i="12" s="1"/>
  <c r="C504" i="12"/>
  <c r="E504" i="12" s="1"/>
  <c r="C505" i="12"/>
  <c r="E505" i="12" s="1"/>
  <c r="C506" i="12"/>
  <c r="E506" i="12" s="1"/>
  <c r="C507" i="12"/>
  <c r="E507" i="12" s="1"/>
  <c r="C508" i="12"/>
  <c r="E508" i="12" s="1"/>
  <c r="C509" i="12"/>
  <c r="E509" i="12" s="1"/>
  <c r="C510" i="12"/>
  <c r="E510" i="12" s="1"/>
  <c r="C511" i="12"/>
  <c r="E511" i="12" s="1"/>
  <c r="C512" i="12"/>
  <c r="E512" i="12" s="1"/>
  <c r="C513" i="12"/>
  <c r="E513" i="12" s="1"/>
  <c r="C514" i="12"/>
  <c r="E514" i="12" s="1"/>
  <c r="C515" i="12"/>
  <c r="E515" i="12" s="1"/>
  <c r="C516" i="12"/>
  <c r="E516" i="12" s="1"/>
  <c r="C517" i="12"/>
  <c r="E517" i="12" s="1"/>
  <c r="C518" i="12"/>
  <c r="E518" i="12" s="1"/>
  <c r="C519" i="12"/>
  <c r="E519" i="12" s="1"/>
  <c r="C520" i="12"/>
  <c r="E520" i="12" s="1"/>
  <c r="C521" i="12"/>
  <c r="E521" i="12" s="1"/>
  <c r="C522" i="12"/>
  <c r="E522" i="12" s="1"/>
  <c r="C523" i="12"/>
  <c r="E523" i="12" s="1"/>
  <c r="C524" i="12"/>
  <c r="E524" i="12" s="1"/>
  <c r="C525" i="12"/>
  <c r="E525" i="12" s="1"/>
  <c r="C526" i="12"/>
  <c r="E526" i="12" s="1"/>
  <c r="C527" i="12"/>
  <c r="E527" i="12" s="1"/>
  <c r="C528" i="12"/>
  <c r="E528" i="12" s="1"/>
  <c r="C529" i="12"/>
  <c r="E529" i="12" s="1"/>
  <c r="C530" i="12"/>
  <c r="E530" i="12" s="1"/>
  <c r="C531" i="12"/>
  <c r="E531" i="12" s="1"/>
  <c r="C532" i="12"/>
  <c r="E532" i="12" s="1"/>
  <c r="C533" i="12"/>
  <c r="E533" i="12" s="1"/>
  <c r="C534" i="12"/>
  <c r="E534" i="12" s="1"/>
  <c r="C535" i="12"/>
  <c r="E535" i="12" s="1"/>
  <c r="C536" i="12"/>
  <c r="E536" i="12" s="1"/>
  <c r="C537" i="12"/>
  <c r="E537" i="12" s="1"/>
  <c r="C538" i="12"/>
  <c r="E538" i="12" s="1"/>
  <c r="C539" i="12"/>
  <c r="E539" i="12" s="1"/>
  <c r="C540" i="12"/>
  <c r="E540" i="12" s="1"/>
  <c r="C541" i="12"/>
  <c r="E541" i="12" s="1"/>
  <c r="C542" i="12"/>
  <c r="E542" i="12" s="1"/>
  <c r="C543" i="12"/>
  <c r="E543" i="12" s="1"/>
  <c r="C544" i="12"/>
  <c r="E544" i="12" s="1"/>
  <c r="C545" i="12"/>
  <c r="E545" i="12" s="1"/>
  <c r="C546" i="12"/>
  <c r="E546" i="12" s="1"/>
  <c r="C547" i="12"/>
  <c r="E547" i="12" s="1"/>
  <c r="C548" i="12"/>
  <c r="E548" i="12" s="1"/>
  <c r="C549" i="12"/>
  <c r="E549" i="12" s="1"/>
  <c r="C550" i="12"/>
  <c r="E550" i="12" s="1"/>
  <c r="C551" i="12"/>
  <c r="E551" i="12" s="1"/>
  <c r="C552" i="12"/>
  <c r="E552" i="12" s="1"/>
  <c r="C553" i="12"/>
  <c r="E553" i="12" s="1"/>
  <c r="C554" i="12"/>
  <c r="E554" i="12" s="1"/>
  <c r="C555" i="12"/>
  <c r="E555" i="12" s="1"/>
  <c r="C556" i="12"/>
  <c r="E556" i="12" s="1"/>
  <c r="C557" i="12"/>
  <c r="E557" i="12" s="1"/>
  <c r="C558" i="12"/>
  <c r="E558" i="12" s="1"/>
  <c r="C559" i="12"/>
  <c r="E559" i="12" s="1"/>
  <c r="C560" i="12"/>
  <c r="E560" i="12" s="1"/>
  <c r="C561" i="12"/>
  <c r="E561" i="12" s="1"/>
  <c r="C562" i="12"/>
  <c r="E562" i="12" s="1"/>
  <c r="C563" i="12"/>
  <c r="E563" i="12" s="1"/>
  <c r="C564" i="12"/>
  <c r="E564" i="12" s="1"/>
  <c r="C565" i="12"/>
  <c r="E565" i="12" s="1"/>
  <c r="C566" i="12"/>
  <c r="E566" i="12" s="1"/>
  <c r="C567" i="12"/>
  <c r="E567" i="12" s="1"/>
  <c r="C568" i="12"/>
  <c r="E568" i="12" s="1"/>
  <c r="C569" i="12"/>
  <c r="E569" i="12" s="1"/>
  <c r="C570" i="12"/>
  <c r="E570" i="12" s="1"/>
  <c r="C571" i="12"/>
  <c r="E571" i="12" s="1"/>
  <c r="C572" i="12"/>
  <c r="E572" i="12" s="1"/>
  <c r="C573" i="12"/>
  <c r="E573" i="12" s="1"/>
  <c r="C574" i="12"/>
  <c r="E574" i="12" s="1"/>
  <c r="C575" i="12"/>
  <c r="E575" i="12" s="1"/>
  <c r="C576" i="12"/>
  <c r="E576" i="12" s="1"/>
  <c r="C577" i="12"/>
  <c r="E577" i="12" s="1"/>
  <c r="C578" i="12"/>
  <c r="E578" i="12" s="1"/>
  <c r="C579" i="12"/>
  <c r="E579" i="12" s="1"/>
  <c r="C580" i="12"/>
  <c r="E580" i="12" s="1"/>
  <c r="C581" i="12"/>
  <c r="E581" i="12" s="1"/>
  <c r="C582" i="12"/>
  <c r="E582" i="12" s="1"/>
  <c r="C583" i="12"/>
  <c r="E583" i="12" s="1"/>
  <c r="C584" i="12"/>
  <c r="E584" i="12" s="1"/>
  <c r="C585" i="12"/>
  <c r="E585" i="12" s="1"/>
  <c r="C586" i="12"/>
  <c r="E586" i="12" s="1"/>
  <c r="C587" i="12"/>
  <c r="E587" i="12" s="1"/>
  <c r="C588" i="12"/>
  <c r="E588" i="12" s="1"/>
  <c r="C589" i="12"/>
  <c r="E589" i="12" s="1"/>
  <c r="C590" i="12"/>
  <c r="E590" i="12" s="1"/>
  <c r="C591" i="12"/>
  <c r="E591" i="12" s="1"/>
  <c r="C592" i="12"/>
  <c r="E592" i="12" s="1"/>
  <c r="C593" i="12"/>
  <c r="E593" i="12" s="1"/>
  <c r="C594" i="12"/>
  <c r="E594" i="12" s="1"/>
  <c r="C595" i="12"/>
  <c r="E595" i="12" s="1"/>
  <c r="C596" i="12"/>
  <c r="E596" i="12" s="1"/>
  <c r="C597" i="12"/>
  <c r="E597" i="12" s="1"/>
  <c r="C598" i="12"/>
  <c r="E598" i="12" s="1"/>
  <c r="C599" i="12"/>
  <c r="E599" i="12" s="1"/>
  <c r="C600" i="12"/>
  <c r="E600" i="12" s="1"/>
  <c r="C601" i="12"/>
  <c r="E601" i="12" s="1"/>
  <c r="C602" i="12"/>
  <c r="E602" i="12" s="1"/>
  <c r="C603" i="12"/>
  <c r="E603" i="12" s="1"/>
  <c r="C604" i="12"/>
  <c r="E604" i="12" s="1"/>
  <c r="C605" i="12"/>
  <c r="E605" i="12" s="1"/>
  <c r="C606" i="12"/>
  <c r="E606" i="12" s="1"/>
  <c r="C607" i="12"/>
  <c r="E607" i="12" s="1"/>
  <c r="C608" i="12"/>
  <c r="E608" i="12" s="1"/>
  <c r="C609" i="12"/>
  <c r="E609" i="12" s="1"/>
  <c r="C610" i="12"/>
  <c r="E610" i="12" s="1"/>
  <c r="C611" i="12"/>
  <c r="E611" i="12" s="1"/>
  <c r="C612" i="12"/>
  <c r="E612" i="12" s="1"/>
  <c r="C613" i="12"/>
  <c r="E613" i="12" s="1"/>
  <c r="C614" i="12"/>
  <c r="E614" i="12" s="1"/>
  <c r="C615" i="12"/>
  <c r="E615" i="12" s="1"/>
  <c r="C616" i="12"/>
  <c r="E616" i="12" s="1"/>
  <c r="C617" i="12"/>
  <c r="E617" i="12" s="1"/>
  <c r="C618" i="12"/>
  <c r="E618" i="12" s="1"/>
  <c r="C619" i="12"/>
  <c r="E619" i="12" s="1"/>
  <c r="C620" i="12"/>
  <c r="E620" i="12" s="1"/>
  <c r="C621" i="12"/>
  <c r="E621" i="12" s="1"/>
  <c r="C622" i="12"/>
  <c r="E622" i="12" s="1"/>
  <c r="C623" i="12"/>
  <c r="E623" i="12" s="1"/>
  <c r="C624" i="12"/>
  <c r="E624" i="12" s="1"/>
  <c r="C625" i="12"/>
  <c r="E625" i="12" s="1"/>
  <c r="C626" i="12"/>
  <c r="E626" i="12" s="1"/>
  <c r="C627" i="12"/>
  <c r="E627" i="12" s="1"/>
  <c r="C628" i="12"/>
  <c r="E628" i="12" s="1"/>
  <c r="C629" i="12"/>
  <c r="E629" i="12" s="1"/>
  <c r="C630" i="12"/>
  <c r="E630" i="12" s="1"/>
  <c r="C631" i="12"/>
  <c r="E631" i="12" s="1"/>
  <c r="C632" i="12"/>
  <c r="E632" i="12" s="1"/>
  <c r="C633" i="12"/>
  <c r="E633" i="12" s="1"/>
  <c r="C634" i="12"/>
  <c r="E634" i="12" s="1"/>
  <c r="C635" i="12"/>
  <c r="E635" i="12" s="1"/>
  <c r="C636" i="12"/>
  <c r="E636" i="12" s="1"/>
  <c r="C637" i="12"/>
  <c r="E637" i="12" s="1"/>
  <c r="C638" i="12"/>
  <c r="E638" i="12" s="1"/>
  <c r="C639" i="12"/>
  <c r="E639" i="12" s="1"/>
  <c r="C640" i="12"/>
  <c r="E640" i="12" s="1"/>
  <c r="C641" i="12"/>
  <c r="E641" i="12" s="1"/>
  <c r="C642" i="12"/>
  <c r="E642" i="12" s="1"/>
  <c r="C643" i="12"/>
  <c r="E643" i="12" s="1"/>
  <c r="C644" i="12"/>
  <c r="E644" i="12" s="1"/>
  <c r="C645" i="12"/>
  <c r="E645" i="12" s="1"/>
  <c r="C646" i="12"/>
  <c r="E646" i="12" s="1"/>
  <c r="C647" i="12"/>
  <c r="E647" i="12" s="1"/>
  <c r="C648" i="12"/>
  <c r="E648" i="12" s="1"/>
  <c r="C649" i="12"/>
  <c r="E649" i="12" s="1"/>
  <c r="C650" i="12"/>
  <c r="E650" i="12" s="1"/>
  <c r="C651" i="12"/>
  <c r="E651" i="12" s="1"/>
  <c r="C652" i="12"/>
  <c r="E652" i="12" s="1"/>
  <c r="C653" i="12"/>
  <c r="E653" i="12" s="1"/>
  <c r="C654" i="12"/>
  <c r="E654" i="12" s="1"/>
  <c r="C655" i="12"/>
  <c r="E655" i="12" s="1"/>
  <c r="C656" i="12"/>
  <c r="E656" i="12" s="1"/>
  <c r="C657" i="12"/>
  <c r="E657" i="12" s="1"/>
  <c r="C658" i="12"/>
  <c r="E658" i="12" s="1"/>
  <c r="C659" i="12"/>
  <c r="E659" i="12" s="1"/>
  <c r="C660" i="12"/>
  <c r="E660" i="12" s="1"/>
  <c r="C661" i="12"/>
  <c r="E661" i="12" s="1"/>
  <c r="C662" i="12"/>
  <c r="E662" i="12" s="1"/>
  <c r="C663" i="12"/>
  <c r="E663" i="12" s="1"/>
  <c r="C664" i="12"/>
  <c r="E664" i="12" s="1"/>
  <c r="C665" i="12"/>
  <c r="E665" i="12" s="1"/>
  <c r="C666" i="12"/>
  <c r="E666" i="12" s="1"/>
  <c r="C667" i="12"/>
  <c r="E667" i="12" s="1"/>
  <c r="C668" i="12"/>
  <c r="E668" i="12" s="1"/>
  <c r="C669" i="12"/>
  <c r="E669" i="12" s="1"/>
  <c r="C670" i="12"/>
  <c r="E670" i="12" s="1"/>
  <c r="C671" i="12"/>
  <c r="E671" i="12" s="1"/>
  <c r="C672" i="12"/>
  <c r="E672" i="12" s="1"/>
  <c r="C673" i="12"/>
  <c r="E673" i="12" s="1"/>
  <c r="C674" i="12"/>
  <c r="E674" i="12" s="1"/>
  <c r="C675" i="12"/>
  <c r="E675" i="12" s="1"/>
  <c r="C676" i="12"/>
  <c r="E676" i="12" s="1"/>
  <c r="C677" i="12"/>
  <c r="E677" i="12" s="1"/>
  <c r="C678" i="12"/>
  <c r="E678" i="12" s="1"/>
  <c r="C679" i="12"/>
  <c r="E679" i="12" s="1"/>
  <c r="C680" i="12"/>
  <c r="E680" i="12" s="1"/>
  <c r="C681" i="12"/>
  <c r="E681" i="12" s="1"/>
  <c r="C682" i="12"/>
  <c r="E682" i="12" s="1"/>
  <c r="C683" i="12"/>
  <c r="E683" i="12" s="1"/>
  <c r="C684" i="12"/>
  <c r="E684" i="12" s="1"/>
  <c r="C685" i="12"/>
  <c r="E685" i="12" s="1"/>
  <c r="C686" i="12"/>
  <c r="E686" i="12" s="1"/>
  <c r="C687" i="12"/>
  <c r="E687" i="12" s="1"/>
  <c r="C688" i="12"/>
  <c r="E688" i="12" s="1"/>
  <c r="C689" i="12"/>
  <c r="E689" i="12" s="1"/>
  <c r="C690" i="12"/>
  <c r="E690" i="12" s="1"/>
  <c r="C691" i="12"/>
  <c r="E691" i="12" s="1"/>
  <c r="C692" i="12"/>
  <c r="E692" i="12" s="1"/>
  <c r="C693" i="12"/>
  <c r="E693" i="12" s="1"/>
  <c r="C694" i="12"/>
  <c r="E694" i="12" s="1"/>
  <c r="C695" i="12"/>
  <c r="E695" i="12" s="1"/>
  <c r="C696" i="12"/>
  <c r="E696" i="12" s="1"/>
  <c r="C697" i="12"/>
  <c r="E697" i="12" s="1"/>
  <c r="C698" i="12"/>
  <c r="E698" i="12" s="1"/>
  <c r="C699" i="12"/>
  <c r="E699" i="12" s="1"/>
  <c r="C700" i="12"/>
  <c r="E700" i="12" s="1"/>
  <c r="C701" i="12"/>
  <c r="E701" i="12" s="1"/>
  <c r="C702" i="12"/>
  <c r="E702" i="12" s="1"/>
  <c r="C703" i="12"/>
  <c r="E703" i="12" s="1"/>
  <c r="C704" i="12"/>
  <c r="E704" i="12" s="1"/>
  <c r="C705" i="12"/>
  <c r="E705" i="12" s="1"/>
  <c r="C706" i="12"/>
  <c r="E706" i="12" s="1"/>
  <c r="C707" i="12"/>
  <c r="E707" i="12" s="1"/>
  <c r="C708" i="12"/>
  <c r="E708" i="12" s="1"/>
  <c r="C709" i="12"/>
  <c r="E709" i="12" s="1"/>
  <c r="C710" i="12"/>
  <c r="E710" i="12" s="1"/>
  <c r="C711" i="12"/>
  <c r="E711" i="12" s="1"/>
  <c r="C712" i="12"/>
  <c r="E712" i="12" s="1"/>
  <c r="C713" i="12"/>
  <c r="E713" i="12" s="1"/>
  <c r="C714" i="12"/>
  <c r="E714" i="12" s="1"/>
  <c r="C715" i="12"/>
  <c r="E715" i="12" s="1"/>
  <c r="C716" i="12"/>
  <c r="E716" i="12" s="1"/>
  <c r="C717" i="12"/>
  <c r="E717" i="12" s="1"/>
  <c r="C718" i="12"/>
  <c r="E718" i="12" s="1"/>
  <c r="C719" i="12"/>
  <c r="E719" i="12" s="1"/>
  <c r="C720" i="12"/>
  <c r="E720" i="12" s="1"/>
  <c r="C721" i="12"/>
  <c r="E721" i="12" s="1"/>
  <c r="C722" i="12"/>
  <c r="E722" i="12" s="1"/>
  <c r="C723" i="12"/>
  <c r="E723" i="12" s="1"/>
  <c r="C724" i="12"/>
  <c r="E724" i="12" s="1"/>
  <c r="C725" i="12"/>
  <c r="E725" i="12" s="1"/>
  <c r="C726" i="12"/>
  <c r="E726" i="12" s="1"/>
  <c r="C727" i="12"/>
  <c r="E727" i="12" s="1"/>
  <c r="C728" i="12"/>
  <c r="E728" i="12" s="1"/>
  <c r="C729" i="12"/>
  <c r="E729" i="12" s="1"/>
  <c r="C730" i="12"/>
  <c r="E730" i="12" s="1"/>
  <c r="C731" i="12"/>
  <c r="E731" i="12" s="1"/>
  <c r="C2" i="12"/>
  <c r="E2" i="12" s="1"/>
  <c r="E5" i="7"/>
  <c r="G5" i="7" s="1"/>
  <c r="H5" i="7" s="1"/>
  <c r="E6" i="7"/>
  <c r="G6" i="7" s="1"/>
  <c r="H6" i="7" s="1"/>
  <c r="E7" i="7"/>
  <c r="G7" i="7" s="1"/>
  <c r="H7" i="7" s="1"/>
  <c r="E8" i="7"/>
  <c r="G8" i="7" s="1"/>
  <c r="H8" i="7" s="1"/>
  <c r="E3" i="11"/>
  <c r="E4" i="11"/>
  <c r="E5" i="11"/>
  <c r="E6" i="11"/>
  <c r="E7" i="11"/>
  <c r="E8" i="11"/>
  <c r="E9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19" i="9"/>
  <c r="E27" i="9"/>
  <c r="E36" i="9"/>
  <c r="E4" i="9"/>
  <c r="E5" i="9"/>
  <c r="E6" i="9"/>
  <c r="E7" i="9"/>
  <c r="E8" i="9"/>
  <c r="E9" i="9"/>
  <c r="E11" i="9"/>
  <c r="E12" i="9"/>
  <c r="E13" i="9"/>
  <c r="E14" i="9"/>
  <c r="E15" i="9"/>
  <c r="E16" i="9"/>
  <c r="E17" i="9"/>
  <c r="E18" i="9"/>
  <c r="E20" i="9"/>
  <c r="E21" i="9"/>
  <c r="E22" i="9"/>
  <c r="E23" i="9"/>
  <c r="E24" i="9"/>
  <c r="E25" i="9"/>
  <c r="E26" i="9"/>
  <c r="E28" i="9"/>
  <c r="E29" i="9"/>
  <c r="E30" i="9"/>
  <c r="E31" i="9"/>
  <c r="E33" i="9"/>
  <c r="E35" i="9"/>
  <c r="E38" i="9"/>
  <c r="E39" i="9"/>
  <c r="E40" i="9"/>
  <c r="E41" i="9"/>
  <c r="E42" i="9"/>
  <c r="E3" i="9"/>
  <c r="E153" i="5"/>
  <c r="I153" i="5" s="1"/>
  <c r="E152" i="5"/>
  <c r="I152" i="5" s="1"/>
  <c r="E151" i="5"/>
  <c r="I151" i="5" s="1"/>
  <c r="A4" i="5"/>
  <c r="A3" i="5"/>
  <c r="A2" i="5"/>
  <c r="G14" i="10"/>
  <c r="E13" i="5" s="1"/>
  <c r="E146" i="5"/>
  <c r="E26" i="11" l="1"/>
  <c r="J154" i="5"/>
  <c r="H1" i="12"/>
  <c r="H2" i="12" s="1"/>
  <c r="E5" i="6"/>
  <c r="E4" i="7" l="1"/>
  <c r="G4" i="7" s="1"/>
  <c r="H4" i="7" s="1"/>
  <c r="E28" i="11" l="1"/>
  <c r="E27" i="11" l="1"/>
  <c r="F28" i="5"/>
  <c r="F55" i="5" s="1"/>
  <c r="F106" i="5" l="1"/>
  <c r="E6" i="6" l="1"/>
  <c r="E3" i="6"/>
  <c r="E4" i="6"/>
  <c r="E3" i="7" l="1"/>
  <c r="G3" i="7" s="1"/>
  <c r="H3" i="7" s="1"/>
  <c r="H9" i="7" s="1"/>
  <c r="H11" i="7" s="1"/>
  <c r="E43" i="9" l="1"/>
  <c r="E45" i="9" s="1"/>
  <c r="E44" i="9" l="1"/>
  <c r="F105" i="5"/>
  <c r="H10" i="7" l="1"/>
  <c r="F107" i="5"/>
  <c r="E50" i="5" l="1"/>
  <c r="E115" i="5" l="1"/>
  <c r="E119" i="5" s="1"/>
  <c r="F30" i="5"/>
  <c r="F89" i="5" l="1"/>
  <c r="F88" i="5"/>
  <c r="F87" i="5"/>
  <c r="F90" i="5"/>
  <c r="F37" i="5"/>
  <c r="F83" i="5"/>
  <c r="F59" i="5"/>
  <c r="F65" i="5" s="1"/>
  <c r="F123" i="5"/>
  <c r="F36" i="5"/>
  <c r="F70" i="5" l="1"/>
  <c r="F73" i="5"/>
  <c r="F74" i="5"/>
  <c r="F71" i="5"/>
  <c r="F38" i="5"/>
  <c r="F44" i="5" s="1"/>
  <c r="F47" i="5" l="1"/>
  <c r="F42" i="5"/>
  <c r="F43" i="5"/>
  <c r="F45" i="5"/>
  <c r="F49" i="5"/>
  <c r="F48" i="5"/>
  <c r="F46" i="5"/>
  <c r="F63" i="5"/>
  <c r="F72" i="5" l="1"/>
  <c r="F75" i="5"/>
  <c r="F50" i="5"/>
  <c r="F64" i="5" l="1"/>
  <c r="F66" i="5" s="1"/>
  <c r="F77" i="5"/>
  <c r="F125" i="5" l="1"/>
  <c r="F124" i="5"/>
  <c r="F97" i="5"/>
  <c r="F93" i="5" l="1"/>
  <c r="F98" i="5" s="1"/>
  <c r="F99" i="5" s="1"/>
  <c r="F126" i="5" l="1"/>
  <c r="E8" i="6" l="1"/>
  <c r="E9" i="6" s="1"/>
  <c r="F103" i="5" l="1"/>
  <c r="F109" i="5" s="1"/>
  <c r="F127" i="5" s="1"/>
  <c r="F128" i="5" s="1"/>
  <c r="F113" i="5" s="1"/>
  <c r="F114" i="5" l="1"/>
  <c r="F118" i="5"/>
  <c r="F117" i="5"/>
  <c r="F116" i="5"/>
  <c r="F119" i="5" l="1"/>
  <c r="F129" i="5" s="1"/>
  <c r="F130" i="5" s="1"/>
  <c r="D141" i="5" l="1"/>
  <c r="F141" i="5" s="1"/>
  <c r="C152" i="5" s="1"/>
  <c r="F146" i="5"/>
  <c r="G146" i="5" s="1"/>
  <c r="C153" i="5" s="1"/>
  <c r="D136" i="5"/>
  <c r="F136" i="5" s="1"/>
  <c r="C151" i="5" s="1"/>
  <c r="F152" i="5" l="1"/>
  <c r="F21" i="10"/>
  <c r="G21" i="10" s="1"/>
  <c r="F151" i="5"/>
  <c r="F20" i="10"/>
  <c r="G20" i="10" s="1"/>
  <c r="F22" i="10"/>
  <c r="G22" i="10" s="1"/>
  <c r="F153" i="5"/>
  <c r="G23" i="10" l="1"/>
  <c r="G24" i="10" s="1"/>
  <c r="F154" i="5"/>
  <c r="F155" i="5" s="1"/>
</calcChain>
</file>

<file path=xl/sharedStrings.xml><?xml version="1.0" encoding="utf-8"?>
<sst xmlns="http://schemas.openxmlformats.org/spreadsheetml/2006/main" count="721" uniqueCount="395">
  <si>
    <t>Total</t>
  </si>
  <si>
    <t>Férias</t>
  </si>
  <si>
    <t>INCRA</t>
  </si>
  <si>
    <t>FGTS</t>
  </si>
  <si>
    <t>Insumos Diversos</t>
  </si>
  <si>
    <t>Custos Indiretos, Tributos e Lucro</t>
  </si>
  <si>
    <t>Custos Indiretos</t>
  </si>
  <si>
    <t>Tributos</t>
  </si>
  <si>
    <t>Lucro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</si>
  <si>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</si>
  <si>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</si>
  <si>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</si>
  <si>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</si>
  <si>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</si>
  <si>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</si>
  <si>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C</t>
  </si>
  <si>
    <t>D</t>
  </si>
  <si>
    <t>E</t>
  </si>
  <si>
    <t>F</t>
  </si>
  <si>
    <t>G</t>
  </si>
  <si>
    <t>Outros (especificar)</t>
  </si>
  <si>
    <t>Módulo 2 - Encargos e Benefícios Anuais, Mensais e Diários</t>
  </si>
  <si>
    <t>2.1</t>
  </si>
  <si>
    <t>13º (décimo terceiro) Salário, Férias e Adicional de Férias</t>
  </si>
  <si>
    <t>13º (décimo terceiro) Salário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</si>
  <si>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</si>
  <si>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</si>
  <si>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</si>
  <si>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</si>
  <si>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</si>
  <si>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SAT</t>
  </si>
  <si>
    <t>H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</si>
  <si>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</si>
  <si>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</si>
  <si>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</si>
  <si>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</si>
  <si>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</si>
  <si>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</si>
  <si>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</si>
  <si>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</si>
  <si>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</si>
  <si>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</si>
  <si>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</si>
  <si>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</si>
  <si>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</si>
  <si>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dos encargos do submódulo 2.2 sobre o Aviso Prévio Trabalhado</t>
  </si>
  <si>
    <t>Módulo 4 - Custo de Reposição do Profissional Ausente</t>
  </si>
  <si>
    <t>4.1</t>
  </si>
  <si>
    <t>Ausências Legais</t>
  </si>
  <si>
    <t>Licença-Paternidade</t>
  </si>
  <si>
    <t>Ausência por acidente de trabalho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</si>
  <si>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</si>
  <si>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</si>
  <si>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</si>
  <si>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</si>
  <si>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</si>
  <si>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</si>
  <si>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</si>
  <si>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</si>
  <si>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</si>
  <si>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</si>
  <si>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</si>
  <si>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</si>
  <si>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DISCRIMINAÇÃO DOS SERVIÇOS (DADOS REFERENTES À CONTRATAÇÃO)</t>
  </si>
  <si>
    <t>Data de apresentação da proposta (dia/mês/ano):</t>
  </si>
  <si>
    <t>Município/UF:</t>
  </si>
  <si>
    <t>Ano do Acordo, Convenção ou Dissídio Coletivo:</t>
  </si>
  <si>
    <t>Número de meses de execução contratual:</t>
  </si>
  <si>
    <t>Unidade de Medida</t>
  </si>
  <si>
    <t>Quantidade total a contratar (Em função da unidade de medida)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</si>
  <si>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</si>
  <si>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</si>
  <si>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</si>
  <si>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</si>
  <si>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</si>
  <si>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MÃO DE OBRA VINCULADA À EXECUÇÃO CONTRATUAL</t>
  </si>
  <si>
    <t>Adicional de Férias</t>
  </si>
  <si>
    <t>13º (décimo terceiro) Salário e Adicional de Férias</t>
  </si>
  <si>
    <t>Multa do FGTS nos casos de Aviso Prévio Indenizado</t>
  </si>
  <si>
    <t>Multa do FGTS nos casos de Aviso Prévio Trabalhado</t>
  </si>
  <si>
    <t>Ausência por doença</t>
  </si>
  <si>
    <t>Submódulo 4.1 - Reposição Por Férias</t>
  </si>
  <si>
    <t>Ausências</t>
  </si>
  <si>
    <t>Ausência por Férias</t>
  </si>
  <si>
    <t>Submódulo 4.2, - Ausências Legais</t>
  </si>
  <si>
    <t>C.1. Tributos Federais - PIS</t>
  </si>
  <si>
    <t>C.2. Tributos Estaduais - COFINS</t>
  </si>
  <si>
    <t>C.3. Tributos Municipais - ISS</t>
  </si>
  <si>
    <t>Submódulo 2.1 - 13º (décimo terceiro) Salário, Adicional de Férias</t>
  </si>
  <si>
    <t>C.1</t>
  </si>
  <si>
    <t>C.2</t>
  </si>
  <si>
    <t>C.3</t>
  </si>
  <si>
    <t>Tipo de Serviço - Escala de Trabalho</t>
  </si>
  <si>
    <t>Prestação dos serviços de Limpeza, Asseio e Conservação</t>
  </si>
  <si>
    <t>*Salário Educação</t>
  </si>
  <si>
    <t>*SESC ou SESI</t>
  </si>
  <si>
    <t>*SENAI - SENAC</t>
  </si>
  <si>
    <t>*SEBRAE</t>
  </si>
  <si>
    <t>*Itens não aplicáveis a Optantes do SIMPLES</t>
  </si>
  <si>
    <t>TIPO DE ÁREA</t>
  </si>
  <si>
    <t>RELAÇÃO DE EQUIPAMENTOS</t>
  </si>
  <si>
    <t>VALOR UNITARIO</t>
  </si>
  <si>
    <t>VALOR TOTAL</t>
  </si>
  <si>
    <t>CUSTO MENSAL</t>
  </si>
  <si>
    <t>TOTAL MENSAL</t>
  </si>
  <si>
    <t>TOTAL MENSAL DIVIDIDO POR FUNCIONÁRIO</t>
  </si>
  <si>
    <t>MATERIAL</t>
  </si>
  <si>
    <t>UNIDADE DE MEDIDA</t>
  </si>
  <si>
    <t xml:space="preserve">QUANTIDADE MENSAL </t>
  </si>
  <si>
    <t>VALOR UNITÁRIO</t>
  </si>
  <si>
    <t>VALOR  TOTAL</t>
  </si>
  <si>
    <t>Desentupidor de pia</t>
  </si>
  <si>
    <t>Par</t>
  </si>
  <si>
    <t xml:space="preserve">TOTAL MENSAL </t>
  </si>
  <si>
    <t>TOTAL MENSAL DIVIDIDO POR SERVENTE</t>
  </si>
  <si>
    <t>UNIFORME POR SERVENTE</t>
  </si>
  <si>
    <t>UNIDADE</t>
  </si>
  <si>
    <t>Unidade</t>
  </si>
  <si>
    <t xml:space="preserve">TOTAL MENSAL POR SERVENTE (R$) </t>
  </si>
  <si>
    <t>Maternidade</t>
  </si>
  <si>
    <t>VALOR UNITÁRIO MÉDIO</t>
  </si>
  <si>
    <t>VALOR  TOTAL MÉDIO</t>
  </si>
  <si>
    <t>Desinfetante concentrado</t>
  </si>
  <si>
    <t>Limpa vidros</t>
  </si>
  <si>
    <t>Lustra móveis</t>
  </si>
  <si>
    <t>Pá para lixo com cabo retrátil</t>
  </si>
  <si>
    <t>Rodo de 40 cm</t>
  </si>
  <si>
    <t>Tipo de Serviço</t>
  </si>
  <si>
    <t xml:space="preserve">LOCAL DO POSTO DE SERVIÇO                 </t>
  </si>
  <si>
    <t>TIPO</t>
  </si>
  <si>
    <t>Valor mensal do Contrato</t>
  </si>
  <si>
    <t>DECLARAÇÃO:</t>
  </si>
  <si>
    <t>Razão Social:</t>
  </si>
  <si>
    <t>CNPJ:</t>
  </si>
  <si>
    <t>Endereço:</t>
  </si>
  <si>
    <t>Telefone:</t>
  </si>
  <si>
    <t>Conta Bancária:</t>
  </si>
  <si>
    <t>Elaborador da proposta:</t>
  </si>
  <si>
    <t>Data da proposta:</t>
  </si>
  <si>
    <t>Validade da proposta:</t>
  </si>
  <si>
    <t xml:space="preserve">    ____________________________________________</t>
  </si>
  <si>
    <t>PROPONENTE</t>
  </si>
  <si>
    <t>Metro Quadrado</t>
  </si>
  <si>
    <t>Metro Quadrado (m²)</t>
  </si>
  <si>
    <t>CBO 5143-20</t>
  </si>
  <si>
    <t>Obs.: A planilha será calculada considerando o valor mensal.</t>
  </si>
  <si>
    <t xml:space="preserve">TOTAL POR SERVENTE EM 12 MESES </t>
  </si>
  <si>
    <t>Utensílios</t>
  </si>
  <si>
    <t>RELAÇÃO DE UTENSÍLIOS</t>
  </si>
  <si>
    <t>RELAÇÃO DE MATERIAL DE LIMPEZA</t>
  </si>
  <si>
    <t>Serviços de limpeza, asseio e conservação</t>
  </si>
  <si>
    <t>Auxiliar de Limpeza</t>
  </si>
  <si>
    <t>Amparo Familiar</t>
  </si>
  <si>
    <t>Calças compridas em tecido leve</t>
  </si>
  <si>
    <t>Camisa de manga longa</t>
  </si>
  <si>
    <t>Disco branco de polimento e acabamento para enceradeira industrial</t>
  </si>
  <si>
    <t>Esponja dupla face</t>
  </si>
  <si>
    <t>Limpa carpete concentrado</t>
  </si>
  <si>
    <t>Limpa pedras</t>
  </si>
  <si>
    <t>Pasta em gel para controle de baratas</t>
  </si>
  <si>
    <t>Pedra sanitária</t>
  </si>
  <si>
    <t>Removedor de cera acrílica</t>
  </si>
  <si>
    <t>Sabão em barra glicerinado</t>
  </si>
  <si>
    <t>Sabonete cremoso para higiene de mãos</t>
  </si>
  <si>
    <t>Dispenser para sabonete líquido, produzido em material resistente de alto impacto, com capacidade do reservatório de no mínimo 800 ml</t>
  </si>
  <si>
    <t>Dispenser para papel toalha, produzido em material resistente de alto impacto, com capacidade para papel toalha interfolhada de 2 dobras</t>
  </si>
  <si>
    <t>Escova Sanitária</t>
  </si>
  <si>
    <t>Rodo de 60 cm</t>
  </si>
  <si>
    <t>Rodo de 30 cm</t>
  </si>
  <si>
    <t>Suporte para Fibra para limpeza pesada + Cabo</t>
  </si>
  <si>
    <t>Vassoura vasculho</t>
  </si>
  <si>
    <t>TOTAL PARA 24 MESES</t>
  </si>
  <si>
    <t>Valor Global do Contrato (Valor mensal x 24 meses)</t>
  </si>
  <si>
    <t xml:space="preserve">QUANTIDADE PARA 24 MESES </t>
  </si>
  <si>
    <t>Escada de abrir extensiva de alumínio de 2 x 10 degraus</t>
  </si>
  <si>
    <t>Escada de alumínio 3 degraus</t>
  </si>
  <si>
    <t>Carrinho apoio de limpeza (funcional)</t>
  </si>
  <si>
    <t>Lavadora de alta pressão semi-profssional 220V/60Hz (para lavagem de pisos e fachadas)</t>
  </si>
  <si>
    <t>Camisetas de mangas curtas em tecido leve (por exemplo algodão)</t>
  </si>
  <si>
    <t xml:space="preserve">TOTAL 24 MESES </t>
  </si>
  <si>
    <t>Confraternização Universal</t>
  </si>
  <si>
    <t>Carnaval</t>
  </si>
  <si>
    <t>Tiradentes</t>
  </si>
  <si>
    <t>Dia de Nossa Senhora Auxiliadora (Padroeira de Goiânia)</t>
  </si>
  <si>
    <t>Corpus Christi</t>
  </si>
  <si>
    <t>Aniversário de Goiânia</t>
  </si>
  <si>
    <t>Dia do Servidor Público</t>
  </si>
  <si>
    <t>Natal</t>
  </si>
  <si>
    <t>Dias da Semana</t>
  </si>
  <si>
    <t>PREÇO MENSAL UNITÁRIO POR M²  (Serviço de limpeza e conservação)</t>
  </si>
  <si>
    <t>ÁREA INTERNA</t>
  </si>
  <si>
    <t>Mão-de-Obra</t>
  </si>
  <si>
    <t>(1)</t>
  </si>
  <si>
    <t>(2)</t>
  </si>
  <si>
    <t>(3)</t>
  </si>
  <si>
    <t>Preço                                          Homem/mês                                                   (R$)</t>
  </si>
  <si>
    <t xml:space="preserve">SERVENTE </t>
  </si>
  <si>
    <t>1/800</t>
  </si>
  <si>
    <t>ÁREA EXTERNA</t>
  </si>
  <si>
    <t>1/1800</t>
  </si>
  <si>
    <t>ESQUADRIA EXTERNA - FACE INTERNA/EXTERNA.</t>
  </si>
  <si>
    <t>(4)</t>
  </si>
  <si>
    <t>(5)</t>
  </si>
  <si>
    <t>(6)</t>
  </si>
  <si>
    <t xml:space="preserve">Frequencia                 no mês                              (Horas) </t>
  </si>
  <si>
    <t>(1 x 2 x 3)                         Ki</t>
  </si>
  <si>
    <t>Preço Homem                           Mês                                 (R$)</t>
  </si>
  <si>
    <t xml:space="preserve">(4X5)                           SUB-TOTAL                                              (R$/m2) </t>
  </si>
  <si>
    <t>1/300</t>
  </si>
  <si>
    <t>16</t>
  </si>
  <si>
    <t>1 / 188,76</t>
  </si>
  <si>
    <t>PREÇO MENSAL/ANUAL DOS SERVIÇOS</t>
  </si>
  <si>
    <t xml:space="preserve"> Preço mensal                                                                unitário                                                (R$/M²)</t>
  </si>
  <si>
    <t>ÁREA                                 (M²)</t>
  </si>
  <si>
    <t xml:space="preserve">(1X2)                                                   SUBTOTAL                                                       (R$) </t>
  </si>
  <si>
    <t>Área Interna</t>
  </si>
  <si>
    <t>Área Externa</t>
  </si>
  <si>
    <t>VALOR MENSAL DOS SERVIÇOS (A)</t>
  </si>
  <si>
    <t>VALOR PARA 24 MESES</t>
  </si>
  <si>
    <t>Produtividade (1/M²)</t>
  </si>
  <si>
    <t xml:space="preserve"> Produtividade (1/M²)</t>
  </si>
  <si>
    <t>Total:</t>
  </si>
  <si>
    <t>Anatel-GO</t>
  </si>
  <si>
    <t>Esquadria Externa (Face interna e externa)</t>
  </si>
  <si>
    <t>Nº do Processo: 53542.001883/2023-17</t>
  </si>
  <si>
    <t>Água sanitária, com teor de cloro ativo entre 2,0% e 2,5% p/p</t>
  </si>
  <si>
    <t>Galão de 5 litros</t>
  </si>
  <si>
    <t>Álcool 70° em gel para limpeza</t>
  </si>
  <si>
    <t>Álcool 70° em gel para assepsia das mãos, com componente hidratante</t>
  </si>
  <si>
    <t>Galão de 4,5 kg</t>
  </si>
  <si>
    <t>Álcool 70° líquido</t>
  </si>
  <si>
    <t>Frasco 1 litro</t>
  </si>
  <si>
    <t>Aromatizante de ambientes, fragrância bambu ou capim limão</t>
  </si>
  <si>
    <t>Galão 5 litros</t>
  </si>
  <si>
    <t>Bucha verde - fibra para limpeza pesada 10x26 cm</t>
  </si>
  <si>
    <t>Cera líquida Incolor concentrada, auto brilho</t>
  </si>
  <si>
    <t>Desodorizante aerosol</t>
  </si>
  <si>
    <t>Frasco 360 ml</t>
  </si>
  <si>
    <t>Detergente líquido neutro</t>
  </si>
  <si>
    <t>Frasco 500 ml</t>
  </si>
  <si>
    <t>QUANTIDADE 24 MESES</t>
  </si>
  <si>
    <t>Disco verde para enceradeira industrial N.º 350 para lavar piso</t>
  </si>
  <si>
    <t>Escova de mão</t>
  </si>
  <si>
    <t>Flanela branca 40x60 cm</t>
  </si>
  <si>
    <t>Lã de aço - pacote de 44g</t>
  </si>
  <si>
    <t>Limpador multiuso, líquido, concentrado</t>
  </si>
  <si>
    <t>Pano para limpeza, tipo saco, 48x76 cm</t>
  </si>
  <si>
    <t>Papel higiênico folha dupla, 100% celulose, picotado, rolo 30 metros</t>
  </si>
  <si>
    <t>Pasta em gel para controle de formigas</t>
  </si>
  <si>
    <t>Sabão em pó</t>
  </si>
  <si>
    <t>Saco plástico para lixo, cor preta, capacidade para 100 litros, reforçado</t>
  </si>
  <si>
    <t>Saponáceo cremoso</t>
  </si>
  <si>
    <t>Tela odorizante para mictório</t>
  </si>
  <si>
    <t>Veneno líquido, gel ou pó para extermínio de ratos</t>
  </si>
  <si>
    <t>Veneno em spray para extermínio de pragas/formigas/insetos</t>
  </si>
  <si>
    <t>Frasco 200 ml</t>
  </si>
  <si>
    <t>Fardo 64 rolos</t>
  </si>
  <si>
    <t>Pacote 1.000 folhas</t>
  </si>
  <si>
    <t>Bisnaga 10 g</t>
  </si>
  <si>
    <t>Pacote 5 unidades</t>
  </si>
  <si>
    <t>Caixa de 1 kg</t>
  </si>
  <si>
    <t>Pacote 100 unidades</t>
  </si>
  <si>
    <t>Frasco 300 ml</t>
  </si>
  <si>
    <t>Pacote 25 g</t>
  </si>
  <si>
    <t>Desentupidor de vaso sanitário</t>
  </si>
  <si>
    <t>Dispenser para álcool em gel, produzido em material resistente de alto impacto, com capacidade do reservatório de no mínimo 800 ml</t>
  </si>
  <si>
    <t>Espanador</t>
  </si>
  <si>
    <t>Mangueira emborrachada de 100 metros</t>
  </si>
  <si>
    <t>Pulverizador pet manual 500 ml</t>
  </si>
  <si>
    <t>Aspirador de pó 220V</t>
  </si>
  <si>
    <t>Enceradeira nº 350 220V</t>
  </si>
  <si>
    <t>Cavalete de sinalização "Cuidado! Piso Molhado!"</t>
  </si>
  <si>
    <t>DEPRECIAÇÃO MENSAL</t>
  </si>
  <si>
    <t>MESES DE VIDA ÚTIL ESTIMADA</t>
  </si>
  <si>
    <t>Feriado</t>
  </si>
  <si>
    <t>Dia Útil?</t>
  </si>
  <si>
    <t>Dias Úteis</t>
  </si>
  <si>
    <t>Nossa Sr.a Aparecida - Padroeira do Brasil</t>
  </si>
  <si>
    <t>Finados</t>
  </si>
  <si>
    <t>Proclamação da República</t>
  </si>
  <si>
    <t>Paixão de Cristo</t>
  </si>
  <si>
    <t xml:space="preserve">	Dia do Trabalho</t>
  </si>
  <si>
    <t>Independência do Brasil</t>
  </si>
  <si>
    <t xml:space="preserve">	Proclamação da República</t>
  </si>
  <si>
    <t>Dia do Trabalho</t>
  </si>
  <si>
    <t xml:space="preserve">	Corpus Christi</t>
  </si>
  <si>
    <t>VALOR TOTAL MENSAL</t>
  </si>
  <si>
    <r>
      <t xml:space="preserve">Regime Tributário </t>
    </r>
    <r>
      <rPr>
        <sz val="11"/>
        <color rgb="FF000000"/>
        <rFont val="Calibri"/>
        <family val="2"/>
        <scheme val="minor"/>
      </rPr>
      <t>(Simples Nacional / Lucro Real / Lucro Presumido)</t>
    </r>
    <r>
      <rPr>
        <b/>
        <sz val="11"/>
        <color rgb="FF000000"/>
        <rFont val="Calibri"/>
        <family val="2"/>
        <scheme val="minor"/>
      </rPr>
      <t>:</t>
    </r>
  </si>
  <si>
    <r>
      <t>(1X2)                                                               SUB-TOTAL                                                                                (R$/m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) </t>
    </r>
  </si>
  <si>
    <r>
      <t>(1X2)                                                              SUB- TOTAL                                                                                (R$/m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) </t>
    </r>
  </si>
  <si>
    <t>MMDT - Média Mensal de Dias Trabalhados:</t>
  </si>
  <si>
    <t>CONSOLIDAÇÃO</t>
  </si>
  <si>
    <t>PLANILHA DE CUSTOS E FORMAÇÃO DE PREÇOS</t>
  </si>
  <si>
    <t>DADOS DO PROPONENTE:</t>
  </si>
  <si>
    <t>Observação 1: Preencher as células em Amarelo</t>
  </si>
  <si>
    <t>Contratação de empresa especializada na prestação de serviços continuados de limpeza, asseio e conservação, a serem executados na Gerência Regional da Anatel no Estado de Goiás (GR07), pelo período de 24 (vinte e quatro) meses, podendo ser prorrogado até o limite de 10 (dez) anos</t>
  </si>
  <si>
    <t>QUANTIDADE (m²)
[a]</t>
  </si>
  <si>
    <t>PREÇO DO METRO QUADRADO
[b]</t>
  </si>
  <si>
    <t>VALOR MENSAL
[c=axb]</t>
  </si>
  <si>
    <t>Declro que os preços contidos nessa proposta incluem todos os custos e despesas, tais como e sem se limitar a: custos diretos e indiretos, tributos incidentes, taxa de administração, materiais, serviços, encargos sociais, trabalhistas, seguros, treinamento, lucro e outros necessários ao cumprimento integral do objeto.</t>
  </si>
  <si>
    <t>DADOS PARA COMPOSIÇÃO DOS CUSTOS REFERENTES A MÃO DE OBRA</t>
  </si>
  <si>
    <t>QTD ANUAL</t>
  </si>
  <si>
    <t>Calçado preto com solado baixo de borracha ou material sintético antiderrapante</t>
  </si>
  <si>
    <t>Jornada de trabalho no mês (Horas)</t>
  </si>
  <si>
    <t>QTD</t>
  </si>
  <si>
    <t>Dia de Contrato</t>
  </si>
  <si>
    <t>Papel toalha, 2 dobras, branco extra</t>
  </si>
  <si>
    <t>Luva de látex, para proteção contra agentes químicos e biológicos (CA39564)</t>
  </si>
  <si>
    <t>Máscara descartável PFF1S semifacial contra poeiras e névoas (CA38950)</t>
  </si>
  <si>
    <t>Protetor auricular tipo plug (CA5745)</t>
  </si>
  <si>
    <t>Óculos de segurança, para evitar poeira e partículas (CA9722)</t>
  </si>
  <si>
    <t>Bota em PVC impermeável, cano longo (CA37455)</t>
  </si>
  <si>
    <t>Vassoura para jardim, com cabo de 1,20 metros (rastelo)</t>
  </si>
  <si>
    <t>EPI's</t>
  </si>
  <si>
    <t>EPI POR SERVENTE</t>
  </si>
  <si>
    <t>Protetor solar, FPS 30, Frasco 120ml</t>
  </si>
  <si>
    <t>Goiânia/GO</t>
  </si>
  <si>
    <t>Rolete plástico com mola para suporte de papel higiênico</t>
  </si>
  <si>
    <t>Cesto telado para lixo em plástico preto</t>
  </si>
  <si>
    <t>Dispenser para copo descartável, produzido em material resistente, com capacidade para 100 copos</t>
  </si>
  <si>
    <t>Saco plástico para lixo, cor preta, capacidade para 40 litros</t>
  </si>
  <si>
    <t>Saco plástico para lixo, cor preta, capacidade para 60 litros</t>
  </si>
  <si>
    <t>GO000018/2023</t>
  </si>
  <si>
    <t>PG_e 01/2023 - TRF1 (90022)</t>
  </si>
  <si>
    <t>MARCA</t>
  </si>
  <si>
    <t>PG_e 01/2023 - MPF (200066)</t>
  </si>
  <si>
    <t>PG_e 05/2022 - PF (200376)</t>
  </si>
  <si>
    <t>PG_e 03/2023 - CRP9 (389257)</t>
  </si>
  <si>
    <t>PG_e 03/2023 - EMBRAPA (135036)</t>
  </si>
  <si>
    <t>Legenda:</t>
  </si>
  <si>
    <t>Cláusula 3ª do TA-CCT</t>
  </si>
  <si>
    <r>
      <t xml:space="preserve">Decreto n° 57.155/1965 - </t>
    </r>
    <r>
      <rPr>
        <b/>
        <sz val="10"/>
        <color rgb="FF1E0FE1"/>
        <rFont val="Calibri "/>
      </rPr>
      <t>[=Remuneração / 12]</t>
    </r>
  </si>
  <si>
    <r>
      <t xml:space="preserve">Inciso XVII do art. 7° da Constituição Federal - </t>
    </r>
    <r>
      <rPr>
        <b/>
        <sz val="10"/>
        <color rgb="FF1E0FE1"/>
        <rFont val="Calibri "/>
      </rPr>
      <t>[=Remuneração x (1/12) x (1/3)]</t>
    </r>
  </si>
  <si>
    <r>
      <t xml:space="preserve">Art. 22, Inciso I, da Lei 8.212, de 24/07/1991 </t>
    </r>
    <r>
      <rPr>
        <b/>
        <sz val="10"/>
        <color rgb="FF1E0FE1"/>
        <rFont val="Calibri"/>
        <family val="2"/>
        <scheme val="minor"/>
      </rPr>
      <t>[=(Remuneração + 13º Salário + 1/3 de Férias + Férias) x 20%]</t>
    </r>
  </si>
  <si>
    <r>
      <t xml:space="preserve">Art. 212, parágrafo 5º da CF </t>
    </r>
    <r>
      <rPr>
        <b/>
        <sz val="10"/>
        <color rgb="FF1E0FE1"/>
        <rFont val="Calibri"/>
        <family val="2"/>
        <scheme val="minor"/>
      </rPr>
      <t>[=(Remuneração + 13º Salário + 1/3 de Férias + Férias) x 2,5%]</t>
    </r>
  </si>
  <si>
    <r>
      <t xml:space="preserve">Art. 30, Lei 8.036/90 </t>
    </r>
    <r>
      <rPr>
        <b/>
        <sz val="10"/>
        <color rgb="FF1E0FE1"/>
        <rFont val="Calibri"/>
        <family val="2"/>
        <scheme val="minor"/>
      </rPr>
      <t>[=(Remuneração + 13º Salário + 1/3 de Férias + Férias) x 1,5%]</t>
    </r>
  </si>
  <si>
    <r>
      <t xml:space="preserve">Art. 1º, caput, Decreto-Lei 6.246/1944 (SENAI) e Art. 4º, caput, do Decreto-Lei 8.621/1946 (SENAC) </t>
    </r>
    <r>
      <rPr>
        <b/>
        <sz val="10"/>
        <color rgb="FF1E0FE1"/>
        <rFont val="Calibri"/>
        <family val="2"/>
        <scheme val="minor"/>
      </rPr>
      <t>[=(Remuneração + 13º Salário + 1/3 de Férias + Férias) x 1,00%]</t>
    </r>
  </si>
  <si>
    <r>
      <t xml:space="preserve">Art. 8º, Lei 8.029/1990 </t>
    </r>
    <r>
      <rPr>
        <b/>
        <sz val="10"/>
        <color rgb="FF1E0FE1"/>
        <rFont val="Calibri"/>
        <family val="2"/>
        <scheme val="minor"/>
      </rPr>
      <t>[=(Remuneração + [=(Remuneração + 13º Salário + 1/3 de Férias + Férias) x 0,6%]</t>
    </r>
  </si>
  <si>
    <r>
      <t xml:space="preserve">Decreto Lei 1.146/1970 </t>
    </r>
    <r>
      <rPr>
        <b/>
        <sz val="10"/>
        <color rgb="FF1E0FE1"/>
        <rFont val="Calibri"/>
        <family val="2"/>
        <scheme val="minor"/>
      </rPr>
      <t>[=(Remuneração + [=(Remuneração + 13º Salário + 1/3 de Férias + Férias) x 0,20%]</t>
    </r>
  </si>
  <si>
    <r>
      <t xml:space="preserve">Art. 15, Lei 8.036/90 e Art. 7º, III, CF </t>
    </r>
    <r>
      <rPr>
        <b/>
        <sz val="10"/>
        <color rgb="FF1E0FE1"/>
        <rFont val="Calibri"/>
        <family val="2"/>
        <scheme val="minor"/>
      </rPr>
      <t>[=(Remuneração + 13º Salário + 1/3 de Férias + Férias) x 8%]</t>
    </r>
  </si>
  <si>
    <t>&gt;&gt;</t>
  </si>
  <si>
    <r>
      <t xml:space="preserve">Considerou-se para o SAT a média dos valores da pesquisa de preços. </t>
    </r>
    <r>
      <rPr>
        <b/>
        <sz val="10"/>
        <color rgb="FF1E0FE1"/>
        <rFont val="Calibri"/>
        <family val="2"/>
        <scheme val="minor"/>
      </rPr>
      <t>[=(Remuneração + 13º Salário + 1/3 de Férias + Férias) x 3,66%]</t>
    </r>
  </si>
  <si>
    <t>ORÇAMENTO FORNEC. 1</t>
  </si>
  <si>
    <t>Clásula Décima Oitava da CCT</t>
  </si>
  <si>
    <r>
      <t xml:space="preserve">Média Mensal de Dias de Trabalho </t>
    </r>
    <r>
      <rPr>
        <b/>
        <sz val="10"/>
        <color rgb="FF1E0FE1"/>
        <rFont val="Calibri"/>
        <family val="2"/>
        <scheme val="minor"/>
      </rPr>
      <t>(MMDT) =  20,79</t>
    </r>
    <r>
      <rPr>
        <sz val="10"/>
        <color rgb="FF1E0FE1"/>
        <rFont val="Calibri"/>
        <family val="2"/>
        <scheme val="minor"/>
      </rPr>
      <t xml:space="preserve"> dias, considerando início da prestação de serviços em 1º de outubro de 2023 sendo a execução em 24 meses</t>
    </r>
  </si>
  <si>
    <r>
      <t xml:space="preserve">Clásula Décima Terceira do TA CCT: </t>
    </r>
    <r>
      <rPr>
        <b/>
        <sz val="10"/>
        <color rgb="FF1E0FE1"/>
        <rFont val="Calibri"/>
        <family val="2"/>
        <scheme val="minor"/>
      </rPr>
      <t>[=(R$ 18,20 x MMDT) x (1 - 11%)]</t>
    </r>
  </si>
  <si>
    <t>Seguro de Vida e Taxa de Aprimoramento</t>
  </si>
  <si>
    <t>[= Aviso Prévio Indenisado x 8%]</t>
  </si>
  <si>
    <r>
      <rPr>
        <sz val="10"/>
        <color rgb="FF1E0FE1"/>
        <rFont val="Calibri"/>
        <family val="2"/>
        <scheme val="minor"/>
      </rPr>
      <t>Em vinte meses, haverá reposição de Profissional Ausente. O cálculo deverá ser revisto na Prorrogação.</t>
    </r>
    <r>
      <rPr>
        <b/>
        <sz val="10"/>
        <color rgb="FF1E0FE1"/>
        <rFont val="Calibri"/>
        <family val="2"/>
        <scheme val="minor"/>
      </rPr>
      <t xml:space="preserve"> [=Remuneração/12]</t>
    </r>
  </si>
  <si>
    <t>[=Remuneração x Índice Médio]</t>
  </si>
  <si>
    <t>Média da pesquisa de preços</t>
  </si>
  <si>
    <r>
      <t xml:space="preserve">Tributos (ISS, COFINS e PIS) definidos utilizando o regime de tributação de Lucro PRESUMIDO. A licitante deve elaborar sua planilha com base no regime de tributação ao qual estará submetida durante a execução do contrato. </t>
    </r>
    <r>
      <rPr>
        <b/>
        <sz val="10"/>
        <color rgb="FF1E0FE1"/>
        <rFont val="Calibri"/>
        <family val="2"/>
        <scheme val="minor"/>
      </rPr>
      <t>[=((Módulo 1 + Módulo 2 + Módulo 3 + Módulo 4 + Módulo 5 + Custos Indiretos + Lucro) / (1 - Total de Tributos)) x Alíquota do Tributo]</t>
    </r>
  </si>
  <si>
    <t>Subtotal (A + B + C + D + E)</t>
  </si>
  <si>
    <t>Quantidade de 
Mão de Obra Esperada</t>
  </si>
  <si>
    <t>Limite Inferior
(Média -50%)</t>
  </si>
  <si>
    <t>Limite Superior
(Média +50%)</t>
  </si>
  <si>
    <t>Média Geral</t>
  </si>
  <si>
    <t>Orçamento Fornecedor 1</t>
  </si>
  <si>
    <t>Qtd. Preços
Licitações</t>
  </si>
  <si>
    <t>Qtd. Preços Painel Preços</t>
  </si>
  <si>
    <t>Qtd. Preços
Sítios Especiaiz.</t>
  </si>
  <si>
    <t>Qtd. Preços Pesquisados</t>
  </si>
  <si>
    <t>Qtd. Preços
Fornecedor</t>
  </si>
  <si>
    <t>Balde 10 litros</t>
  </si>
  <si>
    <t>Vassoura de pelo fino 60 cm</t>
  </si>
  <si>
    <t>Vassoura de pelo fino 40 cm</t>
  </si>
  <si>
    <t>Vassoura de piaçava nylon</t>
  </si>
  <si>
    <t>Vassoura de piaçava Palha</t>
  </si>
  <si>
    <t>Painel Preços (Mediana)</t>
  </si>
  <si>
    <t>[= FGTS x 40% x 50%]</t>
  </si>
  <si>
    <t>[= ((Remuneração + 13º Salário + 1/3 de Férias + Férias) x 50% + Remuneração x 3/30 x 50%)/24]</t>
  </si>
  <si>
    <t>[= ((Remuneração + 13º Salário + 1/3 de Férias + Férias) / 30) x 7 x 50%)/24]</t>
  </si>
  <si>
    <t>[= Aviso Prévio Trabalhado x 36,60%]</t>
  </si>
  <si>
    <r>
      <t xml:space="preserve">Considerou-se, para fim de cálculo estimativo, </t>
    </r>
    <r>
      <rPr>
        <b/>
        <sz val="10"/>
        <color rgb="FF1E0FE1"/>
        <rFont val="Calibri"/>
        <family val="2"/>
        <scheme val="minor"/>
      </rPr>
      <t>50% de rescisões com aviso prévio indenizado</t>
    </r>
    <r>
      <rPr>
        <sz val="10"/>
        <color rgb="FF1E0FE1"/>
        <rFont val="Calibri"/>
        <family val="2"/>
        <scheme val="minor"/>
      </rPr>
      <t xml:space="preserve"> e </t>
    </r>
    <r>
      <rPr>
        <b/>
        <sz val="10"/>
        <color rgb="FF1E0FE1"/>
        <rFont val="Calibri"/>
        <family val="2"/>
        <scheme val="minor"/>
      </rPr>
      <t>50% de rescisões com aviso prévio trabalhado</t>
    </r>
    <r>
      <rPr>
        <sz val="10"/>
        <color rgb="FF1E0FE1"/>
        <rFont val="Calibri"/>
        <family val="2"/>
        <scheme val="minor"/>
      </rPr>
      <t>.</t>
    </r>
  </si>
  <si>
    <t>*Obs.: Foram considerados excessivos os valores que superaram a média geral em mais de 50% e inexequíveis aqueles mais de 50% inferiores. Para cálculo da média geral foram previamente excluídos os valores manifestamente inconsistentes.</t>
  </si>
  <si>
    <r>
      <t xml:space="preserve">Deliberação nº 85  da CDTC de 17/04/2019 - Desconto: 6% sobre a parcela do salário base à prop. do mês afetado, dias trabalhados. </t>
    </r>
    <r>
      <rPr>
        <b/>
        <sz val="10"/>
        <color rgb="FF1E0FE1"/>
        <rFont val="Calibri"/>
        <family val="2"/>
        <scheme val="minor"/>
      </rPr>
      <t xml:space="preserve"> [=(R$ 4,30 x MMDT) - (6% x Salário Base)]</t>
    </r>
  </si>
  <si>
    <t>SEGURO DE VIDA</t>
  </si>
  <si>
    <t>Desconto Seguro de Vida (Cláusula 17ª CCT = R$ 2,54); 
Taxa de Aprimoramento (Cláusula 22ª CCT = R$ 3,50).</t>
  </si>
  <si>
    <t>Itens Excluídos por se mostrarem excessivos ou apresentarem indícios de inexequibilidade*</t>
  </si>
  <si>
    <t>UTENSÍLIO</t>
  </si>
  <si>
    <t>EQUIPAMENTO</t>
  </si>
  <si>
    <t>EPI</t>
  </si>
  <si>
    <t>UNIFORME</t>
  </si>
  <si>
    <t>Meias em algodão tipo soquete</t>
  </si>
  <si>
    <t>Média Sítios
Especializados</t>
  </si>
  <si>
    <t>Licitação nº: 05/2023</t>
  </si>
  <si>
    <t>Dia 06/09/2023 às 09:00 horas</t>
  </si>
  <si>
    <t>CAPHITAL - APOIO ADMINISTRATIVO LTDA</t>
  </si>
  <si>
    <t>82.592.544/0001-54</t>
  </si>
  <si>
    <t>AVENIDA DUQUE DE CAXIAS - Nº 922 - SALA 2 - IGAPO - LONDRINA/PR - 86.015-000</t>
  </si>
  <si>
    <t>(43) 996225360</t>
  </si>
  <si>
    <t>AGENCIA: 1631 / OPERAÇÃO: 003 / CONTA CORRENTE: 45983</t>
  </si>
  <si>
    <t>CAPHITAL - APOIO ADMINISTRATIVO LTDA / MARCELO NAME</t>
  </si>
  <si>
    <t>120 DIAS CORRIDOS</t>
  </si>
  <si>
    <t>LONDRINA, 06 DE SETEMBRO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</si>
</sst>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&quot;R$&quot;\ #,##0.00"/>
    <numFmt numFmtId="166" formatCode="_(&quot;R$ &quot;* #,##0.00_);_(&quot;R$ &quot;* \(#,##0.00\);_(&quot;R$ &quot;* &quot;-&quot;??_);_(@_)"/>
    <numFmt numFmtId="167" formatCode="#,##0.000000"/>
    <numFmt numFmtId="168" formatCode="dddd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6"/>
      <name val="Calibri"/>
      <family val="2"/>
      <scheme val="minor"/>
    </font>
    <font>
      <b/>
      <sz val="15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1E0FE1"/>
      <name val="Calibri"/>
      <family val="2"/>
      <scheme val="minor"/>
    </font>
    <font>
      <sz val="10"/>
      <color rgb="FF1E0FE1"/>
      <name val="Calibri "/>
    </font>
    <font>
      <b/>
      <sz val="10"/>
      <color rgb="FF1E0FE1"/>
      <name val="Calibri "/>
    </font>
    <font>
      <sz val="10"/>
      <color rgb="FF1E0FE1"/>
      <name val="Calibri"/>
      <family val="2"/>
      <scheme val="minor"/>
    </font>
    <font>
      <b/>
      <sz val="11"/>
      <color rgb="FF1E0FE1"/>
      <name val="Calibri"/>
      <family val="2"/>
      <scheme val="minor"/>
    </font>
    <font>
      <b/>
      <sz val="10"/>
      <color rgb="FF1E0FE1"/>
      <name val="Calibri"/>
      <family val="2"/>
      <scheme val="minor"/>
    </font>
    <font>
      <sz val="8"/>
      <color rgb="FF1E0FE1"/>
      <name val="Calibri"/>
      <family val="2"/>
      <scheme val="minor"/>
    </font>
    <font>
      <sz val="8"/>
      <color theme="1"/>
      <name val="Calibri"/>
      <family val="2"/>
      <scheme val="minor"/>
    </font>
  </fonts>
  <fills count="4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41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9F9F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1E0FE1"/>
      </left>
      <right style="thin">
        <color rgb="FF1E0FE1"/>
      </right>
      <top style="thin">
        <color rgb="FF1E0FE1"/>
      </top>
      <bottom style="thin">
        <color rgb="FF1E0FE1"/>
      </bottom>
      <diagonal/>
    </border>
    <border>
      <left style="thin">
        <color rgb="FF1E0FE1"/>
      </left>
      <right/>
      <top style="thin">
        <color rgb="FF1E0FE1"/>
      </top>
      <bottom style="thin">
        <color rgb="FF1E0FE1"/>
      </bottom>
      <diagonal/>
    </border>
    <border>
      <left/>
      <right/>
      <top style="thin">
        <color rgb="FF1E0FE1"/>
      </top>
      <bottom style="thin">
        <color rgb="FF1E0FE1"/>
      </bottom>
      <diagonal/>
    </border>
    <border>
      <left/>
      <right style="thin">
        <color rgb="FF1E0FE1"/>
      </right>
      <top style="thin">
        <color rgb="FF1E0FE1"/>
      </top>
      <bottom style="thin">
        <color rgb="FF1E0FE1"/>
      </bottom>
      <diagonal/>
    </border>
    <border>
      <left style="thin">
        <color rgb="FF1E0FE1"/>
      </left>
      <right/>
      <top/>
      <bottom/>
      <diagonal/>
    </border>
    <border>
      <left style="thin">
        <color rgb="FF1E0FE1"/>
      </left>
      <right/>
      <top style="thin">
        <color rgb="FF1E0FE1"/>
      </top>
      <bottom/>
      <diagonal/>
    </border>
    <border>
      <left/>
      <right/>
      <top style="thin">
        <color rgb="FF1E0FE1"/>
      </top>
      <bottom/>
      <diagonal/>
    </border>
    <border>
      <left/>
      <right style="thin">
        <color rgb="FF1E0FE1"/>
      </right>
      <top style="thin">
        <color rgb="FF1E0FE1"/>
      </top>
      <bottom/>
      <diagonal/>
    </border>
    <border>
      <left style="thin">
        <color rgb="FF1E0FE1"/>
      </left>
      <right/>
      <top/>
      <bottom style="thin">
        <color rgb="FF1E0FE1"/>
      </bottom>
      <diagonal/>
    </border>
    <border>
      <left/>
      <right/>
      <top/>
      <bottom style="thin">
        <color rgb="FF1E0FE1"/>
      </bottom>
      <diagonal/>
    </border>
    <border>
      <left/>
      <right style="thin">
        <color rgb="FF1E0FE1"/>
      </right>
      <top/>
      <bottom style="thin">
        <color rgb="FF1E0FE1"/>
      </bottom>
      <diagonal/>
    </border>
    <border>
      <left/>
      <right style="thin">
        <color rgb="FF1E0FE1"/>
      </right>
      <top/>
      <bottom/>
      <diagonal/>
    </border>
    <border>
      <left style="thin">
        <color rgb="FF1E0FE1"/>
      </left>
      <right style="thin">
        <color rgb="FF1E0FE1"/>
      </right>
      <top style="thin">
        <color rgb="FF1E0FE1"/>
      </top>
      <bottom/>
      <diagonal/>
    </border>
    <border>
      <left style="thin">
        <color rgb="FF1E0FE1"/>
      </left>
      <right style="thin">
        <color rgb="FF1E0FE1"/>
      </right>
      <top/>
      <bottom/>
      <diagonal/>
    </border>
    <border>
      <left style="thin">
        <color rgb="FF1E0FE1"/>
      </left>
      <right style="thin">
        <color rgb="FF1E0FE1"/>
      </right>
      <top/>
      <bottom style="thin">
        <color rgb="FF1E0FE1"/>
      </bottom>
      <diagonal/>
    </border>
  </borders>
  <cellStyleXfs count="55">
    <xf numFmtId="0" fontId="0" fillId="0" borderId="0"/>
    <xf numFmtId="9" fontId="1" fillId="0" borderId="0" applyFont="0" applyFill="0" applyBorder="0" applyAlignment="0" applyProtection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5" applyNumberFormat="0" applyFill="0" applyAlignment="0" applyProtection="0"/>
    <xf numFmtId="0" fontId="5" fillId="0" borderId="6" applyNumberFormat="0" applyFill="0" applyAlignment="0" applyProtection="0"/>
    <xf numFmtId="0" fontId="6" fillId="0" borderId="7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8" applyNumberFormat="0" applyAlignment="0" applyProtection="0"/>
    <xf numFmtId="0" fontId="11" fillId="7" borderId="9" applyNumberFormat="0" applyAlignment="0" applyProtection="0"/>
    <xf numFmtId="0" fontId="12" fillId="7" borderId="8" applyNumberFormat="0" applyAlignment="0" applyProtection="0"/>
    <xf numFmtId="0" fontId="13" fillId="0" borderId="10" applyNumberFormat="0" applyFill="0" applyAlignment="0" applyProtection="0"/>
    <xf numFmtId="0" fontId="14" fillId="8" borderId="11" applyNumberFormat="0" applyAlignment="0" applyProtection="0"/>
    <xf numFmtId="0" fontId="15" fillId="0" borderId="0" applyNumberFormat="0" applyFill="0" applyBorder="0" applyAlignment="0" applyProtection="0"/>
    <xf numFmtId="0" fontId="1" fillId="9" borderId="12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33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2" fillId="0" borderId="0"/>
  </cellStyleXfs>
  <cellXfs count="310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0" fontId="0" fillId="0" borderId="1" xfId="53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>
      <alignment horizontal="left" vertical="center" wrapText="1"/>
    </xf>
    <xf numFmtId="0" fontId="0" fillId="0" borderId="0" xfId="0" applyFill="1"/>
    <xf numFmtId="14" fontId="0" fillId="0" borderId="0" xfId="0" applyNumberFormat="1"/>
    <xf numFmtId="0" fontId="26" fillId="0" borderId="0" xfId="0" applyFont="1"/>
    <xf numFmtId="0" fontId="26" fillId="0" borderId="0" xfId="0" applyFont="1" applyBorder="1"/>
    <xf numFmtId="0" fontId="26" fillId="0" borderId="0" xfId="0" applyFont="1" applyFill="1"/>
    <xf numFmtId="0" fontId="23" fillId="0" borderId="0" xfId="0" applyFont="1"/>
    <xf numFmtId="0" fontId="23" fillId="0" borderId="0" xfId="0" applyFont="1" applyAlignment="1">
      <alignment horizontal="left"/>
    </xf>
    <xf numFmtId="0" fontId="0" fillId="0" borderId="1" xfId="0" applyFont="1" applyBorder="1" applyAlignment="1">
      <alignment vertical="center" wrapText="1"/>
    </xf>
    <xf numFmtId="44" fontId="0" fillId="41" borderId="1" xfId="52" applyFont="1" applyFill="1" applyBorder="1" applyAlignment="1">
      <alignment horizontal="center" vertical="center"/>
    </xf>
    <xf numFmtId="44" fontId="0" fillId="0" borderId="1" xfId="52" applyFont="1" applyFill="1" applyBorder="1" applyAlignment="1">
      <alignment horizontal="center" vertical="center"/>
    </xf>
    <xf numFmtId="44" fontId="25" fillId="36" borderId="2" xfId="52" applyFont="1" applyFill="1" applyBorder="1" applyAlignment="1">
      <alignment horizontal="center" vertical="center"/>
    </xf>
    <xf numFmtId="44" fontId="25" fillId="0" borderId="0" xfId="52" applyFont="1" applyFill="1" applyBorder="1" applyAlignment="1">
      <alignment horizontal="center" vertical="center"/>
    </xf>
    <xf numFmtId="44" fontId="25" fillId="36" borderId="1" xfId="52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Border="1"/>
    <xf numFmtId="0" fontId="0" fillId="0" borderId="0" xfId="0" applyFont="1" applyFill="1"/>
    <xf numFmtId="2" fontId="15" fillId="0" borderId="0" xfId="0" applyNumberFormat="1" applyFont="1"/>
    <xf numFmtId="0" fontId="15" fillId="0" borderId="0" xfId="0" applyFont="1"/>
    <xf numFmtId="44" fontId="1" fillId="41" borderId="1" xfId="52" applyFont="1" applyFill="1" applyBorder="1" applyAlignment="1">
      <alignment horizontal="left" vertical="center"/>
    </xf>
    <xf numFmtId="44" fontId="1" fillId="0" borderId="1" xfId="52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165" fontId="25" fillId="36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7" fillId="43" borderId="0" xfId="0" applyFont="1" applyFill="1"/>
    <xf numFmtId="0" fontId="0" fillId="43" borderId="0" xfId="0" applyFill="1"/>
    <xf numFmtId="0" fontId="17" fillId="44" borderId="0" xfId="0" applyFont="1" applyFill="1" applyAlignment="1">
      <alignment horizontal="center"/>
    </xf>
    <xf numFmtId="0" fontId="17" fillId="0" borderId="0" xfId="0" applyFont="1" applyFill="1"/>
    <xf numFmtId="14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4" fontId="0" fillId="0" borderId="1" xfId="0" applyNumberFormat="1" applyFont="1" applyBorder="1" applyAlignment="1">
      <alignment horizontal="center" vertical="center" wrapText="1"/>
    </xf>
    <xf numFmtId="0" fontId="21" fillId="0" borderId="0" xfId="0" applyFont="1"/>
    <xf numFmtId="0" fontId="21" fillId="35" borderId="23" xfId="0" applyFont="1" applyFill="1" applyBorder="1" applyAlignment="1">
      <alignment horizontal="center" vertical="center" wrapText="1"/>
    </xf>
    <xf numFmtId="0" fontId="29" fillId="35" borderId="23" xfId="0" applyFont="1" applyFill="1" applyBorder="1" applyAlignment="1">
      <alignment horizontal="center" vertical="center" wrapText="1"/>
    </xf>
    <xf numFmtId="4" fontId="21" fillId="35" borderId="23" xfId="0" applyNumberFormat="1" applyFont="1" applyFill="1" applyBorder="1" applyAlignment="1">
      <alignment horizontal="center" vertical="center" wrapText="1"/>
    </xf>
    <xf numFmtId="0" fontId="21" fillId="35" borderId="1" xfId="0" applyFont="1" applyFill="1" applyBorder="1" applyAlignment="1">
      <alignment horizontal="center" vertical="center" wrapText="1"/>
    </xf>
    <xf numFmtId="2" fontId="30" fillId="0" borderId="0" xfId="0" applyNumberFormat="1" applyFont="1"/>
    <xf numFmtId="0" fontId="30" fillId="0" borderId="0" xfId="0" applyFont="1"/>
    <xf numFmtId="4" fontId="31" fillId="0" borderId="14" xfId="0" applyNumberFormat="1" applyFont="1" applyFill="1" applyBorder="1" applyAlignment="1">
      <alignment horizontal="left" vertical="top"/>
    </xf>
    <xf numFmtId="4" fontId="31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/>
    <xf numFmtId="0" fontId="24" fillId="0" borderId="2" xfId="0" applyFont="1" applyFill="1" applyBorder="1" applyAlignment="1">
      <alignment horizontal="center" vertical="center" wrapText="1"/>
    </xf>
    <xf numFmtId="4" fontId="24" fillId="0" borderId="14" xfId="0" applyNumberFormat="1" applyFont="1" applyFill="1" applyBorder="1" applyAlignment="1">
      <alignment horizontal="right"/>
    </xf>
    <xf numFmtId="4" fontId="24" fillId="0" borderId="0" xfId="0" applyNumberFormat="1" applyFont="1" applyFill="1" applyBorder="1" applyAlignment="1">
      <alignment horizontal="right"/>
    </xf>
    <xf numFmtId="4" fontId="24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4" fillId="0" borderId="0" xfId="0" applyFont="1"/>
    <xf numFmtId="0" fontId="21" fillId="0" borderId="0" xfId="0" applyFont="1" applyFill="1" applyBorder="1" applyAlignment="1">
      <alignment horizontal="left" vertical="center" wrapText="1" indent="1"/>
    </xf>
    <xf numFmtId="0" fontId="21" fillId="0" borderId="0" xfId="0" applyFont="1" applyFill="1" applyBorder="1"/>
    <xf numFmtId="0" fontId="28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 wrapText="1"/>
    </xf>
    <xf numFmtId="44" fontId="24" fillId="0" borderId="1" xfId="52" applyFont="1" applyBorder="1" applyAlignment="1">
      <alignment horizontal="center" vertical="center" wrapText="1"/>
    </xf>
    <xf numFmtId="166" fontId="24" fillId="0" borderId="1" xfId="0" applyNumberFormat="1" applyFont="1" applyBorder="1" applyAlignment="1">
      <alignment horizontal="center" vertical="center"/>
    </xf>
    <xf numFmtId="0" fontId="25" fillId="39" borderId="1" xfId="0" applyFont="1" applyFill="1" applyBorder="1" applyAlignment="1">
      <alignment horizontal="center" vertical="center" wrapText="1"/>
    </xf>
    <xf numFmtId="0" fontId="24" fillId="40" borderId="1" xfId="0" applyFont="1" applyFill="1" applyBorder="1" applyAlignment="1">
      <alignment horizontal="center" vertical="center"/>
    </xf>
    <xf numFmtId="0" fontId="25" fillId="40" borderId="1" xfId="0" applyFont="1" applyFill="1" applyBorder="1" applyAlignment="1">
      <alignment vertical="center"/>
    </xf>
    <xf numFmtId="166" fontId="25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38" borderId="0" xfId="0" applyFont="1" applyFill="1"/>
    <xf numFmtId="0" fontId="17" fillId="0" borderId="0" xfId="0" applyFont="1" applyBorder="1" applyAlignment="1">
      <alignment horizontal="center" vertical="center" wrapText="1"/>
    </xf>
    <xf numFmtId="2" fontId="0" fillId="0" borderId="0" xfId="1" applyNumberFormat="1" applyFont="1" applyBorder="1" applyAlignment="1">
      <alignment horizontal="center" vertical="center" wrapText="1"/>
    </xf>
    <xf numFmtId="4" fontId="0" fillId="0" borderId="0" xfId="0" applyNumberFormat="1" applyFont="1" applyBorder="1" applyAlignment="1">
      <alignment horizontal="center" vertical="center" wrapText="1"/>
    </xf>
    <xf numFmtId="10" fontId="0" fillId="0" borderId="0" xfId="1" applyNumberFormat="1" applyFont="1"/>
    <xf numFmtId="4" fontId="0" fillId="0" borderId="0" xfId="0" applyNumberFormat="1" applyFont="1" applyBorder="1" applyAlignment="1">
      <alignment vertical="center" wrapText="1"/>
    </xf>
    <xf numFmtId="4" fontId="0" fillId="41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0" fontId="0" fillId="41" borderId="1" xfId="0" applyNumberFormat="1" applyFont="1" applyFill="1" applyBorder="1" applyAlignment="1">
      <alignment horizontal="center" vertical="center" wrapText="1"/>
    </xf>
    <xf numFmtId="10" fontId="17" fillId="0" borderId="1" xfId="1" applyNumberFormat="1" applyFont="1" applyBorder="1" applyAlignment="1">
      <alignment horizontal="center" vertical="center" wrapText="1"/>
    </xf>
    <xf numFmtId="0" fontId="17" fillId="38" borderId="1" xfId="0" applyFont="1" applyFill="1" applyBorder="1" applyAlignment="1">
      <alignment horizontal="center" vertical="center" wrapText="1"/>
    </xf>
    <xf numFmtId="0" fontId="0" fillId="38" borderId="1" xfId="0" applyFont="1" applyFill="1" applyBorder="1" applyAlignment="1">
      <alignment horizontal="center" vertical="center" wrapText="1"/>
    </xf>
    <xf numFmtId="4" fontId="17" fillId="38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10" fontId="0" fillId="41" borderId="1" xfId="1" applyNumberFormat="1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vertical="center" wrapText="1"/>
    </xf>
    <xf numFmtId="4" fontId="0" fillId="0" borderId="1" xfId="0" applyNumberFormat="1" applyFont="1" applyFill="1" applyBorder="1" applyAlignment="1">
      <alignment vertical="center" wrapText="1"/>
    </xf>
    <xf numFmtId="0" fontId="25" fillId="45" borderId="1" xfId="0" applyFont="1" applyFill="1" applyBorder="1" applyAlignment="1">
      <alignment horizontal="center" vertical="center" wrapText="1"/>
    </xf>
    <xf numFmtId="0" fontId="27" fillId="45" borderId="1" xfId="0" applyFont="1" applyFill="1" applyBorder="1" applyAlignment="1">
      <alignment horizontal="center" vertical="center" wrapText="1"/>
    </xf>
    <xf numFmtId="44" fontId="24" fillId="41" borderId="1" xfId="52" applyFont="1" applyFill="1" applyBorder="1" applyAlignment="1" applyProtection="1">
      <alignment vertical="center" wrapText="1"/>
    </xf>
    <xf numFmtId="44" fontId="24" fillId="0" borderId="1" xfId="52" applyFont="1" applyFill="1" applyBorder="1" applyAlignment="1" applyProtection="1">
      <alignment vertical="center" wrapText="1"/>
    </xf>
    <xf numFmtId="44" fontId="25" fillId="0" borderId="28" xfId="52" applyFont="1" applyFill="1" applyBorder="1" applyAlignment="1" applyProtection="1">
      <alignment vertical="center" wrapText="1"/>
    </xf>
    <xf numFmtId="44" fontId="25" fillId="0" borderId="1" xfId="52" applyFont="1" applyFill="1" applyBorder="1" applyAlignment="1" applyProtection="1">
      <alignment vertical="center"/>
    </xf>
    <xf numFmtId="4" fontId="0" fillId="38" borderId="1" xfId="0" applyNumberFormat="1" applyFont="1" applyFill="1" applyBorder="1" applyAlignment="1">
      <alignment horizontal="centerContinuous" vertical="center" wrapText="1"/>
    </xf>
    <xf numFmtId="0" fontId="17" fillId="34" borderId="0" xfId="0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left"/>
    </xf>
    <xf numFmtId="49" fontId="25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49" fontId="24" fillId="41" borderId="1" xfId="0" applyNumberFormat="1" applyFont="1" applyFill="1" applyBorder="1" applyAlignment="1">
      <alignment horizontal="center"/>
    </xf>
    <xf numFmtId="49" fontId="24" fillId="0" borderId="1" xfId="0" applyNumberFormat="1" applyFont="1" applyFill="1" applyBorder="1" applyAlignment="1">
      <alignment horizontal="center"/>
    </xf>
    <xf numFmtId="167" fontId="24" fillId="0" borderId="1" xfId="0" applyNumberFormat="1" applyFont="1" applyFill="1" applyBorder="1" applyAlignment="1">
      <alignment horizontal="center"/>
    </xf>
    <xf numFmtId="44" fontId="24" fillId="41" borderId="1" xfId="52" applyFont="1" applyFill="1" applyBorder="1" applyAlignment="1">
      <alignment horizontal="center"/>
    </xf>
    <xf numFmtId="49" fontId="25" fillId="0" borderId="38" xfId="0" applyNumberFormat="1" applyFont="1" applyFill="1" applyBorder="1" applyAlignment="1">
      <alignment horizontal="center" vertical="center"/>
    </xf>
    <xf numFmtId="0" fontId="17" fillId="0" borderId="32" xfId="0" applyFont="1" applyBorder="1" applyAlignment="1">
      <alignment horizontal="right"/>
    </xf>
    <xf numFmtId="0" fontId="25" fillId="45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3" fontId="22" fillId="0" borderId="39" xfId="0" applyNumberFormat="1" applyFont="1" applyBorder="1" applyAlignment="1">
      <alignment horizontal="center" vertical="center" wrapText="1"/>
    </xf>
    <xf numFmtId="3" fontId="22" fillId="41" borderId="1" xfId="0" applyNumberFormat="1" applyFont="1" applyFill="1" applyBorder="1" applyAlignment="1">
      <alignment horizontal="center" vertical="center" wrapText="1"/>
    </xf>
    <xf numFmtId="0" fontId="26" fillId="0" borderId="16" xfId="0" applyFont="1" applyBorder="1"/>
    <xf numFmtId="44" fontId="34" fillId="0" borderId="16" xfId="52" applyFont="1" applyBorder="1" applyAlignment="1">
      <alignment horizontal="center" vertical="center"/>
    </xf>
    <xf numFmtId="0" fontId="0" fillId="41" borderId="1" xfId="0" applyFont="1" applyFill="1" applyBorder="1"/>
    <xf numFmtId="0" fontId="0" fillId="0" borderId="16" xfId="0" applyFont="1" applyBorder="1"/>
    <xf numFmtId="0" fontId="40" fillId="44" borderId="40" xfId="0" applyFont="1" applyFill="1" applyBorder="1" applyAlignment="1">
      <alignment horizontal="center" vertical="center" wrapText="1"/>
    </xf>
    <xf numFmtId="10" fontId="36" fillId="0" borderId="40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/>
    </xf>
    <xf numFmtId="0" fontId="43" fillId="0" borderId="0" xfId="0" applyFont="1"/>
    <xf numFmtId="0" fontId="42" fillId="0" borderId="0" xfId="0" applyFont="1" applyAlignment="1">
      <alignment horizontal="center" vertical="center"/>
    </xf>
    <xf numFmtId="10" fontId="36" fillId="47" borderId="40" xfId="0" applyNumberFormat="1" applyFont="1" applyFill="1" applyBorder="1" applyAlignment="1">
      <alignment horizontal="center" vertical="center"/>
    </xf>
    <xf numFmtId="10" fontId="17" fillId="38" borderId="1" xfId="1" applyNumberFormat="1" applyFont="1" applyFill="1" applyBorder="1" applyAlignment="1">
      <alignment horizontal="center" vertical="center" wrapText="1"/>
    </xf>
    <xf numFmtId="10" fontId="17" fillId="38" borderId="1" xfId="1" applyNumberFormat="1" applyFont="1" applyFill="1" applyBorder="1" applyAlignment="1">
      <alignment horizontal="centerContinuous" vertical="center" wrapText="1"/>
    </xf>
    <xf numFmtId="2" fontId="17" fillId="0" borderId="34" xfId="0" applyNumberFormat="1" applyFont="1" applyBorder="1" applyAlignment="1">
      <alignment horizontal="left"/>
    </xf>
    <xf numFmtId="44" fontId="36" fillId="0" borderId="40" xfId="0" applyNumberFormat="1" applyFont="1" applyBorder="1" applyAlignment="1">
      <alignment vertical="center"/>
    </xf>
    <xf numFmtId="44" fontId="36" fillId="47" borderId="40" xfId="0" applyNumberFormat="1" applyFont="1" applyFill="1" applyBorder="1" applyAlignment="1">
      <alignment vertical="center"/>
    </xf>
    <xf numFmtId="44" fontId="36" fillId="0" borderId="40" xfId="52" applyFont="1" applyBorder="1" applyAlignment="1">
      <alignment horizontal="center" vertical="center"/>
    </xf>
    <xf numFmtId="0" fontId="36" fillId="0" borderId="40" xfId="52" applyNumberFormat="1" applyFont="1" applyBorder="1" applyAlignment="1">
      <alignment horizontal="center" vertical="center"/>
    </xf>
    <xf numFmtId="44" fontId="36" fillId="0" borderId="40" xfId="0" applyNumberFormat="1" applyFont="1" applyFill="1" applyBorder="1" applyAlignment="1">
      <alignment vertical="center"/>
    </xf>
    <xf numFmtId="4" fontId="24" fillId="41" borderId="1" xfId="0" applyNumberFormat="1" applyFont="1" applyFill="1" applyBorder="1" applyAlignment="1">
      <alignment horizontal="center" vertical="center" wrapText="1"/>
    </xf>
    <xf numFmtId="10" fontId="36" fillId="0" borderId="40" xfId="0" applyNumberFormat="1" applyFont="1" applyFill="1" applyBorder="1" applyAlignment="1">
      <alignment horizontal="center" vertical="center"/>
    </xf>
    <xf numFmtId="44" fontId="36" fillId="0" borderId="40" xfId="0" applyNumberFormat="1" applyFont="1" applyFill="1" applyBorder="1" applyAlignment="1">
      <alignment horizontal="center" vertical="center"/>
    </xf>
    <xf numFmtId="44" fontId="0" fillId="0" borderId="0" xfId="0" applyNumberFormat="1" applyFont="1"/>
    <xf numFmtId="44" fontId="36" fillId="0" borderId="40" xfId="0" applyNumberFormat="1" applyFont="1" applyBorder="1" applyAlignment="1">
      <alignment horizontal="center" vertical="center"/>
    </xf>
    <xf numFmtId="44" fontId="36" fillId="47" borderId="40" xfId="0" applyNumberFormat="1" applyFont="1" applyFill="1" applyBorder="1" applyAlignment="1">
      <alignment horizontal="center" vertical="center"/>
    </xf>
    <xf numFmtId="0" fontId="40" fillId="0" borderId="0" xfId="0" applyFont="1"/>
    <xf numFmtId="4" fontId="0" fillId="0" borderId="0" xfId="0" applyNumberFormat="1" applyFont="1"/>
    <xf numFmtId="44" fontId="0" fillId="0" borderId="0" xfId="52" applyFont="1"/>
    <xf numFmtId="43" fontId="17" fillId="38" borderId="0" xfId="0" applyNumberFormat="1" applyFont="1" applyFill="1"/>
    <xf numFmtId="0" fontId="24" fillId="41" borderId="0" xfId="0" applyFont="1" applyFill="1" applyAlignment="1" applyProtection="1">
      <alignment horizontal="center"/>
      <protection locked="0"/>
    </xf>
    <xf numFmtId="0" fontId="0" fillId="41" borderId="0" xfId="0" applyFont="1" applyFill="1" applyAlignment="1" applyProtection="1">
      <alignment horizontal="center"/>
      <protection locked="0"/>
    </xf>
    <xf numFmtId="0" fontId="0" fillId="41" borderId="0" xfId="0" applyFont="1" applyFill="1" applyAlignment="1" applyProtection="1">
      <alignment horizontal="center" vertical="top"/>
      <protection locked="0"/>
    </xf>
    <xf numFmtId="0" fontId="24" fillId="41" borderId="1" xfId="0" applyFont="1" applyFill="1" applyBorder="1" applyAlignment="1">
      <alignment horizontal="left" vertical="center"/>
    </xf>
    <xf numFmtId="14" fontId="24" fillId="41" borderId="1" xfId="0" applyNumberFormat="1" applyFont="1" applyFill="1" applyBorder="1" applyAlignment="1">
      <alignment horizontal="left" vertical="center"/>
    </xf>
    <xf numFmtId="0" fontId="32" fillId="43" borderId="1" xfId="0" applyFont="1" applyFill="1" applyBorder="1" applyAlignment="1">
      <alignment horizontal="center"/>
    </xf>
    <xf numFmtId="0" fontId="24" fillId="38" borderId="1" xfId="0" applyFont="1" applyFill="1" applyBorder="1" applyAlignment="1">
      <alignment horizontal="center" vertical="center" wrapText="1"/>
    </xf>
    <xf numFmtId="0" fontId="25" fillId="39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66" fontId="25" fillId="0" borderId="1" xfId="0" applyNumberFormat="1" applyFont="1" applyBorder="1" applyAlignment="1">
      <alignment horizontal="center" vertical="center"/>
    </xf>
    <xf numFmtId="0" fontId="24" fillId="40" borderId="1" xfId="0" applyFont="1" applyFill="1" applyBorder="1" applyAlignment="1">
      <alignment horizontal="center" vertical="center" wrapText="1"/>
    </xf>
    <xf numFmtId="0" fontId="21" fillId="35" borderId="24" xfId="0" applyFont="1" applyFill="1" applyBorder="1" applyAlignment="1">
      <alignment horizontal="center" vertical="center" wrapText="1"/>
    </xf>
    <xf numFmtId="0" fontId="21" fillId="35" borderId="25" xfId="0" applyFont="1" applyFill="1" applyBorder="1" applyAlignment="1">
      <alignment horizontal="center" vertical="center" wrapText="1"/>
    </xf>
    <xf numFmtId="0" fontId="21" fillId="35" borderId="26" xfId="0" applyFont="1" applyFill="1" applyBorder="1" applyAlignment="1">
      <alignment horizontal="center" vertical="center" wrapText="1"/>
    </xf>
    <xf numFmtId="0" fontId="21" fillId="0" borderId="23" xfId="0" applyFont="1" applyFill="1" applyBorder="1" applyAlignment="1">
      <alignment horizontal="center" vertical="center" wrapText="1"/>
    </xf>
    <xf numFmtId="0" fontId="29" fillId="35" borderId="24" xfId="0" applyFont="1" applyFill="1" applyBorder="1" applyAlignment="1">
      <alignment horizontal="center" vertical="center" wrapText="1"/>
    </xf>
    <xf numFmtId="0" fontId="29" fillId="35" borderId="25" xfId="0" applyFont="1" applyFill="1" applyBorder="1" applyAlignment="1">
      <alignment horizontal="center" vertical="center" wrapText="1"/>
    </xf>
    <xf numFmtId="0" fontId="29" fillId="35" borderId="26" xfId="0" applyFont="1" applyFill="1" applyBorder="1" applyAlignment="1">
      <alignment horizontal="center" vertical="center" wrapText="1"/>
    </xf>
    <xf numFmtId="14" fontId="21" fillId="41" borderId="23" xfId="0" applyNumberFormat="1" applyFont="1" applyFill="1" applyBorder="1" applyAlignment="1">
      <alignment horizontal="center" vertical="center" wrapText="1"/>
    </xf>
    <xf numFmtId="0" fontId="21" fillId="0" borderId="24" xfId="0" applyFont="1" applyFill="1" applyBorder="1" applyAlignment="1">
      <alignment horizontal="center" vertical="center" wrapText="1"/>
    </xf>
    <xf numFmtId="0" fontId="21" fillId="0" borderId="26" xfId="0" applyFont="1" applyFill="1" applyBorder="1" applyAlignment="1">
      <alignment horizontal="center" vertical="center" wrapText="1"/>
    </xf>
    <xf numFmtId="0" fontId="21" fillId="41" borderId="24" xfId="0" applyFont="1" applyFill="1" applyBorder="1" applyAlignment="1">
      <alignment horizontal="center" vertical="center" wrapText="1"/>
    </xf>
    <xf numFmtId="0" fontId="21" fillId="41" borderId="26" xfId="0" applyFont="1" applyFill="1" applyBorder="1" applyAlignment="1">
      <alignment horizontal="center" vertical="center" wrapText="1"/>
    </xf>
    <xf numFmtId="0" fontId="32" fillId="43" borderId="23" xfId="0" applyFont="1" applyFill="1" applyBorder="1" applyAlignment="1">
      <alignment horizontal="center"/>
    </xf>
    <xf numFmtId="0" fontId="33" fillId="44" borderId="27" xfId="0" applyFont="1" applyFill="1" applyBorder="1" applyAlignment="1">
      <alignment horizontal="center" vertical="center"/>
    </xf>
    <xf numFmtId="0" fontId="33" fillId="44" borderId="35" xfId="0" applyFont="1" applyFill="1" applyBorder="1" applyAlignment="1">
      <alignment horizontal="center" vertical="center"/>
    </xf>
    <xf numFmtId="0" fontId="33" fillId="44" borderId="36" xfId="0" applyFont="1" applyFill="1" applyBorder="1" applyAlignment="1">
      <alignment horizontal="center" vertical="center"/>
    </xf>
    <xf numFmtId="0" fontId="21" fillId="35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left"/>
    </xf>
    <xf numFmtId="44" fontId="29" fillId="46" borderId="32" xfId="52" applyFont="1" applyFill="1" applyBorder="1" applyAlignment="1">
      <alignment horizontal="center" vertical="center" wrapText="1"/>
    </xf>
    <xf numFmtId="44" fontId="29" fillId="46" borderId="34" xfId="52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/>
    </xf>
    <xf numFmtId="4" fontId="24" fillId="0" borderId="1" xfId="0" applyNumberFormat="1" applyFont="1" applyFill="1" applyBorder="1" applyAlignment="1">
      <alignment horizontal="left"/>
    </xf>
    <xf numFmtId="44" fontId="24" fillId="0" borderId="1" xfId="52" applyFont="1" applyFill="1" applyBorder="1" applyAlignment="1">
      <alignment horizontal="center"/>
    </xf>
    <xf numFmtId="4" fontId="24" fillId="42" borderId="1" xfId="0" applyNumberFormat="1" applyFont="1" applyFill="1" applyBorder="1" applyAlignment="1">
      <alignment horizontal="center"/>
    </xf>
    <xf numFmtId="0" fontId="24" fillId="42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left"/>
    </xf>
    <xf numFmtId="4" fontId="25" fillId="42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 vertical="center" wrapText="1"/>
    </xf>
    <xf numFmtId="49" fontId="25" fillId="0" borderId="38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49" fontId="24" fillId="41" borderId="1" xfId="0" applyNumberFormat="1" applyFont="1" applyFill="1" applyBorder="1" applyAlignment="1">
      <alignment horizontal="center"/>
    </xf>
    <xf numFmtId="4" fontId="24" fillId="0" borderId="1" xfId="0" applyNumberFormat="1" applyFont="1" applyFill="1" applyBorder="1" applyAlignment="1">
      <alignment horizontal="center"/>
    </xf>
    <xf numFmtId="0" fontId="24" fillId="0" borderId="1" xfId="0" applyNumberFormat="1" applyFont="1" applyFill="1" applyBorder="1" applyAlignment="1">
      <alignment horizontal="center"/>
    </xf>
    <xf numFmtId="44" fontId="24" fillId="41" borderId="1" xfId="52" applyFont="1" applyFill="1" applyBorder="1" applyAlignment="1">
      <alignment horizontal="center"/>
    </xf>
    <xf numFmtId="0" fontId="25" fillId="44" borderId="1" xfId="0" applyFont="1" applyFill="1" applyBorder="1" applyAlignment="1">
      <alignment horizontal="center"/>
    </xf>
    <xf numFmtId="49" fontId="25" fillId="0" borderId="1" xfId="0" applyNumberFormat="1" applyFont="1" applyFill="1" applyBorder="1" applyAlignment="1">
      <alignment horizontal="center" vertical="center"/>
    </xf>
    <xf numFmtId="0" fontId="17" fillId="38" borderId="1" xfId="0" applyFont="1" applyFill="1" applyBorder="1" applyAlignment="1">
      <alignment horizontal="center" vertical="center" wrapText="1"/>
    </xf>
    <xf numFmtId="0" fontId="0" fillId="38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7" fillId="2" borderId="38" xfId="0" applyFont="1" applyFill="1" applyBorder="1" applyAlignment="1">
      <alignment horizontal="center" vertical="center"/>
    </xf>
    <xf numFmtId="0" fontId="21" fillId="35" borderId="4" xfId="0" applyFont="1" applyFill="1" applyBorder="1" applyAlignment="1">
      <alignment horizontal="center" vertical="center" wrapText="1"/>
    </xf>
    <xf numFmtId="0" fontId="21" fillId="35" borderId="15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" fontId="21" fillId="35" borderId="24" xfId="0" applyNumberFormat="1" applyFont="1" applyFill="1" applyBorder="1" applyAlignment="1">
      <alignment horizontal="center" vertical="center" wrapText="1"/>
    </xf>
    <xf numFmtId="4" fontId="21" fillId="35" borderId="26" xfId="0" applyNumberFormat="1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44" fontId="21" fillId="41" borderId="1" xfId="52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0" fontId="21" fillId="41" borderId="4" xfId="0" applyFont="1" applyFill="1" applyBorder="1" applyAlignment="1">
      <alignment horizontal="center"/>
    </xf>
    <xf numFmtId="0" fontId="21" fillId="41" borderId="15" xfId="0" applyFont="1" applyFill="1" applyBorder="1" applyAlignment="1">
      <alignment horizontal="center"/>
    </xf>
    <xf numFmtId="0" fontId="21" fillId="41" borderId="16" xfId="0" applyFont="1" applyFill="1" applyBorder="1" applyAlignment="1">
      <alignment horizontal="center"/>
    </xf>
    <xf numFmtId="14" fontId="21" fillId="41" borderId="1" xfId="0" applyNumberFormat="1" applyFont="1" applyFill="1" applyBorder="1" applyAlignment="1">
      <alignment horizontal="center" vertical="center" wrapText="1"/>
    </xf>
    <xf numFmtId="0" fontId="21" fillId="35" borderId="16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34" fillId="44" borderId="4" xfId="0" applyFont="1" applyFill="1" applyBorder="1" applyAlignment="1">
      <alignment horizontal="center" vertical="center"/>
    </xf>
    <xf numFmtId="0" fontId="34" fillId="44" borderId="15" xfId="0" applyFont="1" applyFill="1" applyBorder="1" applyAlignment="1">
      <alignment horizontal="center" vertical="center"/>
    </xf>
    <xf numFmtId="0" fontId="34" fillId="44" borderId="16" xfId="0" applyFont="1" applyFill="1" applyBorder="1" applyAlignment="1">
      <alignment horizontal="center" vertical="center"/>
    </xf>
    <xf numFmtId="0" fontId="21" fillId="35" borderId="2" xfId="0" applyFont="1" applyFill="1" applyBorder="1" applyAlignment="1">
      <alignment horizontal="left" vertical="center" wrapText="1"/>
    </xf>
    <xf numFmtId="0" fontId="21" fillId="41" borderId="4" xfId="0" applyFont="1" applyFill="1" applyBorder="1" applyAlignment="1">
      <alignment horizontal="center" vertical="center" wrapText="1"/>
    </xf>
    <xf numFmtId="0" fontId="21" fillId="41" borderId="16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38" borderId="32" xfId="0" applyFont="1" applyFill="1" applyBorder="1" applyAlignment="1">
      <alignment horizontal="center" vertical="center" wrapText="1"/>
    </xf>
    <xf numFmtId="0" fontId="17" fillId="38" borderId="33" xfId="0" applyFont="1" applyFill="1" applyBorder="1" applyAlignment="1">
      <alignment horizontal="center" vertical="center" wrapText="1"/>
    </xf>
    <xf numFmtId="0" fontId="17" fillId="38" borderId="34" xfId="0" applyFont="1" applyFill="1" applyBorder="1" applyAlignment="1">
      <alignment horizontal="center" vertical="center" wrapText="1"/>
    </xf>
    <xf numFmtId="0" fontId="37" fillId="44" borderId="41" xfId="0" applyFont="1" applyFill="1" applyBorder="1" applyAlignment="1">
      <alignment horizontal="center"/>
    </xf>
    <xf numFmtId="0" fontId="37" fillId="44" borderId="42" xfId="0" applyFont="1" applyFill="1" applyBorder="1" applyAlignment="1">
      <alignment horizontal="center"/>
    </xf>
    <xf numFmtId="0" fontId="37" fillId="44" borderId="43" xfId="0" applyFont="1" applyFill="1" applyBorder="1" applyAlignment="1">
      <alignment horizontal="center"/>
    </xf>
    <xf numFmtId="0" fontId="37" fillId="44" borderId="41" xfId="0" applyFont="1" applyFill="1" applyBorder="1" applyAlignment="1">
      <alignment horizontal="center" wrapText="1"/>
    </xf>
    <xf numFmtId="0" fontId="37" fillId="44" borderId="42" xfId="0" applyFont="1" applyFill="1" applyBorder="1" applyAlignment="1">
      <alignment horizontal="center" wrapText="1"/>
    </xf>
    <xf numFmtId="0" fontId="37" fillId="44" borderId="43" xfId="0" applyFont="1" applyFill="1" applyBorder="1" applyAlignment="1">
      <alignment horizontal="center" wrapText="1"/>
    </xf>
    <xf numFmtId="0" fontId="39" fillId="44" borderId="41" xfId="0" applyFont="1" applyFill="1" applyBorder="1" applyAlignment="1">
      <alignment horizontal="center"/>
    </xf>
    <xf numFmtId="0" fontId="39" fillId="44" borderId="42" xfId="0" applyFont="1" applyFill="1" applyBorder="1" applyAlignment="1">
      <alignment horizontal="center"/>
    </xf>
    <xf numFmtId="0" fontId="39" fillId="44" borderId="43" xfId="0" applyFont="1" applyFill="1" applyBorder="1" applyAlignment="1">
      <alignment horizontal="center"/>
    </xf>
    <xf numFmtId="0" fontId="39" fillId="0" borderId="45" xfId="0" applyFont="1" applyBorder="1" applyAlignment="1">
      <alignment horizontal="center" vertical="center" wrapText="1"/>
    </xf>
    <xf numFmtId="0" fontId="39" fillId="0" borderId="46" xfId="0" applyFont="1" applyBorder="1" applyAlignment="1">
      <alignment horizontal="center" vertical="center" wrapText="1"/>
    </xf>
    <xf numFmtId="0" fontId="39" fillId="0" borderId="47" xfId="0" applyFont="1" applyBorder="1" applyAlignment="1">
      <alignment horizontal="center" vertical="center" wrapText="1"/>
    </xf>
    <xf numFmtId="0" fontId="39" fillId="0" borderId="44" xfId="0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0" fontId="39" fillId="0" borderId="51" xfId="0" applyFont="1" applyBorder="1" applyAlignment="1">
      <alignment horizontal="center" vertical="center" wrapText="1"/>
    </xf>
    <xf numFmtId="0" fontId="39" fillId="0" borderId="48" xfId="0" applyFont="1" applyBorder="1" applyAlignment="1">
      <alignment horizontal="center" vertical="center" wrapText="1"/>
    </xf>
    <xf numFmtId="0" fontId="39" fillId="0" borderId="49" xfId="0" applyFont="1" applyBorder="1" applyAlignment="1">
      <alignment horizontal="center" vertical="center" wrapText="1"/>
    </xf>
    <xf numFmtId="0" fontId="39" fillId="0" borderId="50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/>
    </xf>
    <xf numFmtId="0" fontId="39" fillId="44" borderId="45" xfId="0" applyFont="1" applyFill="1" applyBorder="1" applyAlignment="1">
      <alignment horizontal="center" vertical="center" wrapText="1"/>
    </xf>
    <xf numFmtId="0" fontId="39" fillId="44" borderId="46" xfId="0" applyFont="1" applyFill="1" applyBorder="1" applyAlignment="1">
      <alignment horizontal="center" vertical="center" wrapText="1"/>
    </xf>
    <xf numFmtId="0" fontId="39" fillId="44" borderId="47" xfId="0" applyFont="1" applyFill="1" applyBorder="1" applyAlignment="1">
      <alignment horizontal="center" vertical="center" wrapText="1"/>
    </xf>
    <xf numFmtId="0" fontId="39" fillId="44" borderId="48" xfId="0" applyFont="1" applyFill="1" applyBorder="1" applyAlignment="1">
      <alignment horizontal="center" vertical="center" wrapText="1"/>
    </xf>
    <xf numFmtId="0" fontId="39" fillId="44" borderId="49" xfId="0" applyFont="1" applyFill="1" applyBorder="1" applyAlignment="1">
      <alignment horizontal="center" vertical="center" wrapText="1"/>
    </xf>
    <xf numFmtId="0" fontId="39" fillId="44" borderId="50" xfId="0" applyFont="1" applyFill="1" applyBorder="1" applyAlignment="1">
      <alignment horizontal="center" vertical="center" wrapText="1"/>
    </xf>
    <xf numFmtId="0" fontId="39" fillId="44" borderId="41" xfId="0" applyFont="1" applyFill="1" applyBorder="1" applyAlignment="1">
      <alignment horizontal="center" vertical="top" wrapText="1"/>
    </xf>
    <xf numFmtId="0" fontId="39" fillId="44" borderId="42" xfId="0" applyFont="1" applyFill="1" applyBorder="1" applyAlignment="1">
      <alignment horizontal="center" vertical="top" wrapText="1"/>
    </xf>
    <xf numFmtId="0" fontId="39" fillId="44" borderId="43" xfId="0" applyFont="1" applyFill="1" applyBorder="1" applyAlignment="1">
      <alignment horizontal="center" vertical="top" wrapText="1"/>
    </xf>
    <xf numFmtId="0" fontId="40" fillId="0" borderId="41" xfId="0" applyFont="1" applyBorder="1" applyAlignment="1">
      <alignment horizontal="center" vertical="center"/>
    </xf>
    <xf numFmtId="0" fontId="40" fillId="0" borderId="42" xfId="0" applyFont="1" applyBorder="1" applyAlignment="1">
      <alignment horizontal="center" vertical="center"/>
    </xf>
    <xf numFmtId="0" fontId="40" fillId="0" borderId="43" xfId="0" applyFont="1" applyBorder="1" applyAlignment="1">
      <alignment horizontal="center" vertical="center"/>
    </xf>
    <xf numFmtId="0" fontId="40" fillId="0" borderId="45" xfId="0" applyFont="1" applyBorder="1" applyAlignment="1">
      <alignment horizontal="center" vertical="center" wrapText="1"/>
    </xf>
    <xf numFmtId="0" fontId="40" fillId="0" borderId="47" xfId="0" applyFont="1" applyBorder="1" applyAlignment="1">
      <alignment horizontal="center" vertical="center" wrapText="1"/>
    </xf>
    <xf numFmtId="0" fontId="40" fillId="0" borderId="44" xfId="0" applyFont="1" applyBorder="1" applyAlignment="1">
      <alignment horizontal="center" vertical="center" wrapText="1"/>
    </xf>
    <xf numFmtId="0" fontId="40" fillId="0" borderId="51" xfId="0" applyFont="1" applyBorder="1" applyAlignment="1">
      <alignment horizontal="center" vertical="center" wrapText="1"/>
    </xf>
    <xf numFmtId="0" fontId="40" fillId="0" borderId="48" xfId="0" applyFont="1" applyBorder="1" applyAlignment="1">
      <alignment horizontal="center" vertical="center" wrapText="1"/>
    </xf>
    <xf numFmtId="0" fontId="40" fillId="0" borderId="50" xfId="0" applyFont="1" applyBorder="1" applyAlignment="1">
      <alignment horizontal="center" vertical="center" wrapText="1"/>
    </xf>
    <xf numFmtId="0" fontId="40" fillId="47" borderId="52" xfId="0" applyFont="1" applyFill="1" applyBorder="1" applyAlignment="1">
      <alignment horizontal="center" vertical="center"/>
    </xf>
    <xf numFmtId="0" fontId="40" fillId="47" borderId="53" xfId="0" applyFont="1" applyFill="1" applyBorder="1" applyAlignment="1">
      <alignment horizontal="center" vertical="center"/>
    </xf>
    <xf numFmtId="0" fontId="40" fillId="47" borderId="54" xfId="0" applyFont="1" applyFill="1" applyBorder="1" applyAlignment="1">
      <alignment horizontal="center" vertical="center"/>
    </xf>
    <xf numFmtId="44" fontId="29" fillId="46" borderId="37" xfId="52" applyFont="1" applyFill="1" applyBorder="1" applyAlignment="1">
      <alignment horizontal="center" vertical="center" wrapText="1"/>
    </xf>
    <xf numFmtId="44" fontId="29" fillId="46" borderId="29" xfId="52" applyFont="1" applyFill="1" applyBorder="1" applyAlignment="1">
      <alignment horizontal="center" vertical="center" wrapText="1"/>
    </xf>
    <xf numFmtId="44" fontId="29" fillId="46" borderId="30" xfId="52" applyFont="1" applyFill="1" applyBorder="1" applyAlignment="1">
      <alignment horizontal="center" vertical="center" wrapText="1"/>
    </xf>
    <xf numFmtId="44" fontId="29" fillId="46" borderId="3" xfId="52" applyFont="1" applyFill="1" applyBorder="1" applyAlignment="1">
      <alignment horizontal="center" vertical="center" wrapText="1"/>
    </xf>
    <xf numFmtId="44" fontId="29" fillId="46" borderId="0" xfId="52" applyFont="1" applyFill="1" applyBorder="1" applyAlignment="1">
      <alignment horizontal="center" vertical="center" wrapText="1"/>
    </xf>
    <xf numFmtId="44" fontId="29" fillId="46" borderId="20" xfId="52" applyFont="1" applyFill="1" applyBorder="1" applyAlignment="1">
      <alignment horizontal="center" vertical="center" wrapText="1"/>
    </xf>
    <xf numFmtId="44" fontId="29" fillId="46" borderId="17" xfId="52" applyFont="1" applyFill="1" applyBorder="1" applyAlignment="1">
      <alignment horizontal="center" vertical="center" wrapText="1"/>
    </xf>
    <xf numFmtId="44" fontId="29" fillId="46" borderId="18" xfId="52" applyFont="1" applyFill="1" applyBorder="1" applyAlignment="1">
      <alignment horizontal="center" vertical="center" wrapText="1"/>
    </xf>
    <xf numFmtId="44" fontId="29" fillId="46" borderId="19" xfId="52" applyFont="1" applyFill="1" applyBorder="1" applyAlignment="1">
      <alignment horizontal="center" vertical="center" wrapText="1"/>
    </xf>
    <xf numFmtId="0" fontId="35" fillId="43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7" fillId="34" borderId="0" xfId="0" applyFont="1" applyFill="1" applyBorder="1" applyAlignment="1">
      <alignment horizontal="center" vertical="center" wrapText="1"/>
    </xf>
    <xf numFmtId="0" fontId="39" fillId="44" borderId="41" xfId="0" applyFont="1" applyFill="1" applyBorder="1" applyAlignment="1">
      <alignment horizontal="center" vertical="center" wrapText="1"/>
    </xf>
    <xf numFmtId="0" fontId="39" fillId="44" borderId="42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" fontId="25" fillId="42" borderId="32" xfId="0" applyNumberFormat="1" applyFont="1" applyFill="1" applyBorder="1" applyAlignment="1">
      <alignment horizontal="center"/>
    </xf>
    <xf numFmtId="4" fontId="25" fillId="42" borderId="34" xfId="0" applyNumberFormat="1" applyFont="1" applyFill="1" applyBorder="1" applyAlignment="1">
      <alignment horizontal="center"/>
    </xf>
    <xf numFmtId="0" fontId="42" fillId="38" borderId="3" xfId="0" applyFont="1" applyFill="1" applyBorder="1" applyAlignment="1">
      <alignment horizontal="center" vertical="center"/>
    </xf>
    <xf numFmtId="0" fontId="41" fillId="44" borderId="41" xfId="0" applyFont="1" applyFill="1" applyBorder="1" applyAlignment="1">
      <alignment horizontal="center" vertical="center" wrapText="1"/>
    </xf>
    <xf numFmtId="0" fontId="41" fillId="44" borderId="42" xfId="0" applyFont="1" applyFill="1" applyBorder="1" applyAlignment="1">
      <alignment horizontal="center" vertical="center" wrapText="1"/>
    </xf>
    <xf numFmtId="0" fontId="41" fillId="44" borderId="43" xfId="0" applyFont="1" applyFill="1" applyBorder="1" applyAlignment="1">
      <alignment horizontal="center" vertical="center" wrapText="1"/>
    </xf>
    <xf numFmtId="0" fontId="42" fillId="0" borderId="3" xfId="0" applyFont="1" applyBorder="1" applyAlignment="1">
      <alignment horizontal="center" vertical="center"/>
    </xf>
    <xf numFmtId="0" fontId="41" fillId="44" borderId="45" xfId="0" applyFont="1" applyFill="1" applyBorder="1" applyAlignment="1">
      <alignment horizontal="center" vertical="center" wrapText="1"/>
    </xf>
    <xf numFmtId="0" fontId="41" fillId="44" borderId="46" xfId="0" applyFont="1" applyFill="1" applyBorder="1" applyAlignment="1">
      <alignment horizontal="center" vertical="center" wrapText="1"/>
    </xf>
    <xf numFmtId="0" fontId="41" fillId="44" borderId="47" xfId="0" applyFont="1" applyFill="1" applyBorder="1" applyAlignment="1">
      <alignment horizontal="center" vertical="center" wrapText="1"/>
    </xf>
    <xf numFmtId="0" fontId="41" fillId="44" borderId="44" xfId="0" applyFont="1" applyFill="1" applyBorder="1" applyAlignment="1">
      <alignment horizontal="center" vertical="center" wrapText="1"/>
    </xf>
    <xf numFmtId="0" fontId="41" fillId="44" borderId="0" xfId="0" applyFont="1" applyFill="1" applyBorder="1" applyAlignment="1">
      <alignment horizontal="center" vertical="center" wrapText="1"/>
    </xf>
    <xf numFmtId="0" fontId="41" fillId="44" borderId="51" xfId="0" applyFont="1" applyFill="1" applyBorder="1" applyAlignment="1">
      <alignment horizontal="center" vertical="center" wrapText="1"/>
    </xf>
    <xf numFmtId="0" fontId="41" fillId="44" borderId="48" xfId="0" applyFont="1" applyFill="1" applyBorder="1" applyAlignment="1">
      <alignment horizontal="center" vertical="center" wrapText="1"/>
    </xf>
    <xf numFmtId="0" fontId="41" fillId="44" borderId="49" xfId="0" applyFont="1" applyFill="1" applyBorder="1" applyAlignment="1">
      <alignment horizontal="center" vertical="center" wrapText="1"/>
    </xf>
    <xf numFmtId="0" fontId="41" fillId="44" borderId="50" xfId="0" applyFont="1" applyFill="1" applyBorder="1" applyAlignment="1">
      <alignment horizontal="center" vertical="center" wrapText="1"/>
    </xf>
    <xf numFmtId="0" fontId="25" fillId="44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25" fillId="0" borderId="31" xfId="0" applyFont="1" applyBorder="1" applyAlignment="1">
      <alignment horizontal="left" vertical="center" wrapText="1"/>
    </xf>
    <xf numFmtId="0" fontId="25" fillId="0" borderId="21" xfId="0" applyFont="1" applyBorder="1" applyAlignment="1">
      <alignment horizontal="left" vertical="center"/>
    </xf>
    <xf numFmtId="0" fontId="25" fillId="0" borderId="22" xfId="0" applyFont="1" applyBorder="1" applyAlignment="1">
      <alignment horizontal="left" vertical="center"/>
    </xf>
    <xf numFmtId="0" fontId="34" fillId="0" borderId="4" xfId="0" applyFont="1" applyBorder="1" applyAlignment="1">
      <alignment horizontal="center" vertical="center"/>
    </xf>
    <xf numFmtId="0" fontId="25" fillId="37" borderId="1" xfId="0" applyFont="1" applyFill="1" applyBorder="1" applyAlignment="1">
      <alignment horizontal="left" vertical="center" wrapText="1"/>
    </xf>
    <xf numFmtId="44" fontId="34" fillId="0" borderId="1" xfId="52" applyFont="1" applyBorder="1" applyAlignment="1">
      <alignment horizontal="center" vertical="center"/>
    </xf>
    <xf numFmtId="44" fontId="34" fillId="0" borderId="4" xfId="52" applyFont="1" applyBorder="1" applyAlignment="1">
      <alignment horizontal="center" vertical="center"/>
    </xf>
    <xf numFmtId="0" fontId="25" fillId="37" borderId="17" xfId="0" applyFont="1" applyFill="1" applyBorder="1" applyAlignment="1">
      <alignment horizontal="left" vertical="center" wrapText="1"/>
    </xf>
    <xf numFmtId="0" fontId="25" fillId="37" borderId="18" xfId="0" applyFont="1" applyFill="1" applyBorder="1" applyAlignment="1">
      <alignment horizontal="left" vertical="center" wrapText="1"/>
    </xf>
    <xf numFmtId="0" fontId="25" fillId="37" borderId="19" xfId="0" applyFont="1" applyFill="1" applyBorder="1" applyAlignment="1">
      <alignment horizontal="left" vertical="center" wrapText="1"/>
    </xf>
    <xf numFmtId="0" fontId="25" fillId="0" borderId="32" xfId="0" applyFont="1" applyFill="1" applyBorder="1" applyAlignment="1">
      <alignment horizontal="center" vertical="center" wrapText="1"/>
    </xf>
    <xf numFmtId="0" fontId="25" fillId="0" borderId="33" xfId="0" applyFont="1" applyFill="1" applyBorder="1" applyAlignment="1">
      <alignment horizontal="center" vertical="center" wrapText="1"/>
    </xf>
    <xf numFmtId="0" fontId="25" fillId="0" borderId="34" xfId="0" applyFont="1" applyFill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</cellXfs>
  <cellStyles count="55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Excel Built-in Percent" xfId="54" xr:uid="{00000000-0005-0000-0000-00001D000000}"/>
    <cellStyle name="Moeda" xfId="52" builtinId="4"/>
    <cellStyle name="Neutro" xfId="12" builtinId="28" customBuiltin="1"/>
    <cellStyle name="Normal" xfId="0" builtinId="0"/>
    <cellStyle name="Normal 2" xfId="47" xr:uid="{00000000-0005-0000-0000-000022000000}"/>
    <cellStyle name="Nota" xfId="19" builtinId="10" customBuiltin="1"/>
    <cellStyle name="Porcentagem" xfId="1" builtinId="5"/>
    <cellStyle name="Ruim" xfId="11" builtinId="27" customBuiltin="1"/>
    <cellStyle name="Saída" xfId="14" builtinId="21" customBuiltin="1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" xfId="53" builtinId="3"/>
    <cellStyle name="Vírgula 2" xfId="2" xr:uid="{00000000-0005-0000-0000-00002F000000}"/>
    <cellStyle name="Vírgula 3" xfId="4" xr:uid="{00000000-0005-0000-0000-000030000000}"/>
    <cellStyle name="Vírgula 3 2" xfId="50" xr:uid="{00000000-0005-0000-0000-000031000000}"/>
    <cellStyle name="Vírgula 4" xfId="3" xr:uid="{00000000-0005-0000-0000-000032000000}"/>
    <cellStyle name="Vírgula 4 2" xfId="49" xr:uid="{00000000-0005-0000-0000-000033000000}"/>
    <cellStyle name="Vírgula 5" xfId="46" xr:uid="{00000000-0005-0000-0000-000034000000}"/>
    <cellStyle name="Vírgula 5 2" xfId="51" xr:uid="{00000000-0005-0000-0000-000035000000}"/>
    <cellStyle name="Vírgula 6" xfId="48" xr:uid="{00000000-0005-0000-0000-000036000000}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F9F9F"/>
      <color rgb="FF1E0F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1:K40"/>
  <sheetViews>
    <sheetView showGridLines="0" tabSelected="1" topLeftCell="A4" zoomScale="80" zoomScaleNormal="80" workbookViewId="0">
      <selection activeCell="J12" sqref="J12"/>
    </sheetView>
  </sheetViews>
  <sheetFormatPr defaultRowHeight="15"/>
  <cols>
    <col min="1" max="1" width="23.5703125" style="18" customWidth="1"/>
    <col min="2" max="2" width="22.28515625" style="18" customWidth="1"/>
    <col min="3" max="3" width="4.85546875" style="18" customWidth="1"/>
    <col min="4" max="4" width="18.42578125" style="18" customWidth="1"/>
    <col min="5" max="6" width="18.7109375" style="18" customWidth="1"/>
    <col min="7" max="7" width="30.140625" style="18" customWidth="1"/>
    <col min="8" max="9" width="9.140625" style="18"/>
    <col min="10" max="10" width="15.28515625" style="18" bestFit="1" customWidth="1"/>
    <col min="11" max="16384" width="9.140625" style="18"/>
  </cols>
  <sheetData>
    <row r="1" spans="1:10" ht="31.5" customHeight="1" thickBot="1">
      <c r="A1" s="163" t="s">
        <v>292</v>
      </c>
      <c r="B1" s="164"/>
      <c r="C1" s="164"/>
      <c r="D1" s="164"/>
      <c r="E1" s="164"/>
      <c r="F1" s="164"/>
      <c r="G1" s="165"/>
    </row>
    <row r="2" spans="1:10" ht="18.75">
      <c r="A2" s="54"/>
      <c r="B2" s="54"/>
      <c r="C2" s="54"/>
      <c r="D2" s="54"/>
      <c r="E2" s="54"/>
      <c r="F2" s="54"/>
      <c r="G2" s="54"/>
    </row>
    <row r="3" spans="1:10" ht="18" customHeight="1">
      <c r="A3" s="166" t="s">
        <v>224</v>
      </c>
      <c r="B3" s="166"/>
      <c r="C3" s="52"/>
      <c r="D3" s="52"/>
    </row>
    <row r="4" spans="1:10" ht="18" customHeight="1">
      <c r="A4" s="166" t="s">
        <v>385</v>
      </c>
      <c r="B4" s="166"/>
      <c r="C4" s="52"/>
      <c r="D4" s="52"/>
      <c r="F4" s="168" t="s">
        <v>294</v>
      </c>
      <c r="G4" s="169"/>
    </row>
    <row r="5" spans="1:10" ht="18" customHeight="1">
      <c r="A5" s="167" t="s">
        <v>386</v>
      </c>
      <c r="B5" s="167"/>
      <c r="C5" s="53"/>
      <c r="D5" s="53"/>
    </row>
    <row r="6" spans="1:10">
      <c r="A6" s="51"/>
      <c r="B6" s="35"/>
      <c r="C6" s="35"/>
      <c r="D6" s="35"/>
    </row>
    <row r="7" spans="1:10" ht="18.75">
      <c r="A7" s="162" t="s">
        <v>63</v>
      </c>
      <c r="B7" s="162"/>
      <c r="C7" s="162"/>
      <c r="D7" s="162"/>
      <c r="E7" s="162"/>
      <c r="F7" s="162"/>
      <c r="G7" s="162"/>
    </row>
    <row r="8" spans="1:10" ht="18" customHeight="1">
      <c r="A8" s="36" t="s">
        <v>12</v>
      </c>
      <c r="B8" s="150" t="s">
        <v>64</v>
      </c>
      <c r="C8" s="151"/>
      <c r="D8" s="151"/>
      <c r="E8" s="152"/>
      <c r="F8" s="157">
        <v>45175</v>
      </c>
      <c r="G8" s="157"/>
    </row>
    <row r="9" spans="1:10" ht="18" customHeight="1">
      <c r="A9" s="36" t="s">
        <v>14</v>
      </c>
      <c r="B9" s="150" t="s">
        <v>65</v>
      </c>
      <c r="C9" s="151"/>
      <c r="D9" s="151"/>
      <c r="E9" s="152"/>
      <c r="F9" s="158" t="s">
        <v>316</v>
      </c>
      <c r="G9" s="159"/>
    </row>
    <row r="10" spans="1:10" ht="18" customHeight="1">
      <c r="A10" s="36" t="s">
        <v>15</v>
      </c>
      <c r="B10" s="150" t="s">
        <v>66</v>
      </c>
      <c r="C10" s="151"/>
      <c r="D10" s="151"/>
      <c r="E10" s="152"/>
      <c r="F10" s="160" t="s">
        <v>322</v>
      </c>
      <c r="G10" s="161"/>
    </row>
    <row r="11" spans="1:10" ht="18" customHeight="1">
      <c r="A11" s="36" t="s">
        <v>16</v>
      </c>
      <c r="B11" s="150" t="s">
        <v>67</v>
      </c>
      <c r="C11" s="151"/>
      <c r="D11" s="151"/>
      <c r="E11" s="152"/>
      <c r="F11" s="153">
        <v>24</v>
      </c>
      <c r="G11" s="153"/>
    </row>
    <row r="12" spans="1:10">
      <c r="A12" s="51"/>
    </row>
    <row r="13" spans="1:10" ht="45">
      <c r="A13" s="154" t="s">
        <v>127</v>
      </c>
      <c r="B13" s="155"/>
      <c r="C13" s="156"/>
      <c r="D13" s="154" t="s">
        <v>68</v>
      </c>
      <c r="E13" s="155"/>
      <c r="F13" s="156"/>
      <c r="G13" s="37" t="s">
        <v>69</v>
      </c>
    </row>
    <row r="14" spans="1:10" ht="28.5" customHeight="1">
      <c r="A14" s="150" t="s">
        <v>150</v>
      </c>
      <c r="B14" s="151"/>
      <c r="C14" s="152"/>
      <c r="D14" s="150" t="s">
        <v>142</v>
      </c>
      <c r="E14" s="151"/>
      <c r="F14" s="152"/>
      <c r="G14" s="38">
        <f>SUM(E20:E22)</f>
        <v>2461.5</v>
      </c>
      <c r="J14" s="136"/>
    </row>
    <row r="15" spans="1:10">
      <c r="A15" s="51"/>
      <c r="B15" s="51"/>
      <c r="C15" s="51"/>
      <c r="D15" s="51"/>
      <c r="E15" s="51"/>
      <c r="F15" s="51"/>
      <c r="G15" s="51"/>
    </row>
    <row r="16" spans="1:10" ht="18.75">
      <c r="A16" s="144" t="s">
        <v>291</v>
      </c>
      <c r="B16" s="144"/>
      <c r="C16" s="144"/>
      <c r="D16" s="144"/>
      <c r="E16" s="144"/>
      <c r="F16" s="144"/>
      <c r="G16" s="144"/>
    </row>
    <row r="17" spans="1:11" ht="43.5" customHeight="1">
      <c r="A17" s="145" t="s">
        <v>295</v>
      </c>
      <c r="B17" s="145"/>
      <c r="C17" s="145"/>
      <c r="D17" s="145"/>
      <c r="E17" s="145"/>
      <c r="F17" s="145"/>
      <c r="G17" s="145"/>
      <c r="J17" s="137"/>
    </row>
    <row r="19" spans="1:11" ht="50.25" customHeight="1">
      <c r="A19" s="59" t="s">
        <v>128</v>
      </c>
      <c r="B19" s="146" t="s">
        <v>129</v>
      </c>
      <c r="C19" s="146"/>
      <c r="D19" s="59" t="s">
        <v>107</v>
      </c>
      <c r="E19" s="59" t="s">
        <v>296</v>
      </c>
      <c r="F19" s="59" t="s">
        <v>297</v>
      </c>
      <c r="G19" s="59" t="s">
        <v>298</v>
      </c>
    </row>
    <row r="20" spans="1:11" ht="53.25" customHeight="1">
      <c r="A20" s="147" t="s">
        <v>222</v>
      </c>
      <c r="B20" s="147" t="s">
        <v>215</v>
      </c>
      <c r="C20" s="147"/>
      <c r="D20" s="55" t="s">
        <v>143</v>
      </c>
      <c r="E20" s="56">
        <v>1148.45</v>
      </c>
      <c r="F20" s="57">
        <f>SERVENTE!C151</f>
        <v>4.8</v>
      </c>
      <c r="G20" s="58">
        <f>ROUND(F20*E20,2)</f>
        <v>5512.56</v>
      </c>
    </row>
    <row r="21" spans="1:11" ht="53.25" customHeight="1">
      <c r="A21" s="147"/>
      <c r="B21" s="147" t="s">
        <v>216</v>
      </c>
      <c r="C21" s="147"/>
      <c r="D21" s="55" t="s">
        <v>143</v>
      </c>
      <c r="E21" s="56">
        <f>790+273.05</f>
        <v>1063.05</v>
      </c>
      <c r="F21" s="57">
        <f>SERVENTE!C152</f>
        <v>2.13</v>
      </c>
      <c r="G21" s="58">
        <f>ROUND(F21*E21,2)</f>
        <v>2264.3000000000002</v>
      </c>
    </row>
    <row r="22" spans="1:11" ht="53.25" customHeight="1">
      <c r="A22" s="147"/>
      <c r="B22" s="147" t="s">
        <v>223</v>
      </c>
      <c r="C22" s="147"/>
      <c r="D22" s="55" t="s">
        <v>143</v>
      </c>
      <c r="E22" s="56">
        <v>250</v>
      </c>
      <c r="F22" s="57">
        <f>SERVENTE!C153</f>
        <v>1.0900000000000001</v>
      </c>
      <c r="G22" s="58">
        <f>ROUND(F22*E22,2)</f>
        <v>272.5</v>
      </c>
    </row>
    <row r="23" spans="1:11">
      <c r="A23" s="148" t="s">
        <v>130</v>
      </c>
      <c r="B23" s="148"/>
      <c r="C23" s="148"/>
      <c r="D23" s="148"/>
      <c r="E23" s="148"/>
      <c r="F23" s="148"/>
      <c r="G23" s="62">
        <f>ROUND(SUM(G20:G22),2)</f>
        <v>8049.36</v>
      </c>
    </row>
    <row r="24" spans="1:11">
      <c r="A24" s="148" t="s">
        <v>172</v>
      </c>
      <c r="B24" s="148"/>
      <c r="C24" s="148"/>
      <c r="D24" s="148"/>
      <c r="E24" s="148"/>
      <c r="F24" s="148"/>
      <c r="G24" s="62">
        <f>ROUND(G23*24,2)</f>
        <v>193184.64000000001</v>
      </c>
    </row>
    <row r="25" spans="1:11">
      <c r="K25" s="138"/>
    </row>
    <row r="26" spans="1:11" ht="55.5" customHeight="1">
      <c r="A26" s="60" t="s">
        <v>131</v>
      </c>
      <c r="B26" s="149" t="s">
        <v>299</v>
      </c>
      <c r="C26" s="149"/>
      <c r="D26" s="149"/>
      <c r="E26" s="149"/>
      <c r="F26" s="149"/>
      <c r="G26" s="149"/>
    </row>
    <row r="28" spans="1:11" ht="18.75">
      <c r="A28" s="144" t="s">
        <v>293</v>
      </c>
      <c r="B28" s="144"/>
      <c r="C28" s="144"/>
      <c r="D28" s="144"/>
      <c r="E28" s="144"/>
      <c r="F28" s="144"/>
      <c r="G28" s="144"/>
    </row>
    <row r="29" spans="1:11" ht="24" customHeight="1">
      <c r="A29" s="61" t="s">
        <v>132</v>
      </c>
      <c r="B29" s="142" t="s">
        <v>387</v>
      </c>
      <c r="C29" s="142"/>
      <c r="D29" s="142"/>
      <c r="E29" s="142"/>
      <c r="F29" s="142"/>
      <c r="G29" s="142"/>
    </row>
    <row r="30" spans="1:11" ht="24" customHeight="1">
      <c r="A30" s="61" t="s">
        <v>133</v>
      </c>
      <c r="B30" s="142" t="s">
        <v>388</v>
      </c>
      <c r="C30" s="142"/>
      <c r="D30" s="142"/>
      <c r="E30" s="142"/>
      <c r="F30" s="142"/>
      <c r="G30" s="142"/>
    </row>
    <row r="31" spans="1:11" ht="24" customHeight="1">
      <c r="A31" s="61" t="s">
        <v>134</v>
      </c>
      <c r="B31" s="142" t="s">
        <v>389</v>
      </c>
      <c r="C31" s="142"/>
      <c r="D31" s="142"/>
      <c r="E31" s="142"/>
      <c r="F31" s="142"/>
      <c r="G31" s="142"/>
    </row>
    <row r="32" spans="1:11" ht="24" customHeight="1">
      <c r="A32" s="61" t="s">
        <v>135</v>
      </c>
      <c r="B32" s="142" t="s">
        <v>390</v>
      </c>
      <c r="C32" s="142"/>
      <c r="D32" s="142"/>
      <c r="E32" s="142"/>
      <c r="F32" s="142"/>
      <c r="G32" s="142"/>
    </row>
    <row r="33" spans="1:7" ht="24" customHeight="1">
      <c r="A33" s="61" t="s">
        <v>136</v>
      </c>
      <c r="B33" s="142" t="s">
        <v>391</v>
      </c>
      <c r="C33" s="142"/>
      <c r="D33" s="142"/>
      <c r="E33" s="142"/>
      <c r="F33" s="142"/>
      <c r="G33" s="142"/>
    </row>
    <row r="34" spans="1:7" ht="24" customHeight="1">
      <c r="A34" s="61" t="s">
        <v>137</v>
      </c>
      <c r="B34" s="142" t="s">
        <v>392</v>
      </c>
      <c r="C34" s="142"/>
      <c r="D34" s="142"/>
      <c r="E34" s="142"/>
      <c r="F34" s="142"/>
      <c r="G34" s="142"/>
    </row>
    <row r="35" spans="1:7" ht="24" customHeight="1">
      <c r="A35" s="61" t="s">
        <v>138</v>
      </c>
      <c r="B35" s="143">
        <v>45175</v>
      </c>
      <c r="C35" s="142"/>
      <c r="D35" s="142"/>
      <c r="E35" s="142"/>
      <c r="F35" s="142"/>
      <c r="G35" s="142"/>
    </row>
    <row r="36" spans="1:7" ht="24" customHeight="1">
      <c r="A36" s="61" t="s">
        <v>139</v>
      </c>
      <c r="B36" s="142" t="s">
        <v>393</v>
      </c>
      <c r="C36" s="142"/>
      <c r="D36" s="142"/>
      <c r="E36" s="142"/>
      <c r="F36" s="142"/>
      <c r="G36" s="142"/>
    </row>
    <row r="38" spans="1:7">
      <c r="A38" s="139" t="s">
        <v>394</v>
      </c>
      <c r="B38" s="139"/>
      <c r="C38" s="139"/>
      <c r="D38" s="139"/>
      <c r="E38" s="139"/>
      <c r="F38" s="139"/>
      <c r="G38" s="139"/>
    </row>
    <row r="39" spans="1:7" ht="89.25" customHeight="1">
      <c r="A39" s="140" t="s">
        <v>140</v>
      </c>
      <c r="B39" s="140"/>
      <c r="C39" s="140"/>
      <c r="D39" s="140"/>
      <c r="E39" s="140"/>
      <c r="F39" s="140"/>
      <c r="G39" s="140"/>
    </row>
    <row r="40" spans="1:7">
      <c r="A40" s="141" t="s">
        <v>141</v>
      </c>
      <c r="B40" s="141"/>
      <c r="C40" s="141"/>
      <c r="D40" s="141"/>
      <c r="E40" s="141"/>
      <c r="F40" s="141"/>
      <c r="G40" s="141"/>
    </row>
  </sheetData>
  <mergeCells count="40">
    <mergeCell ref="A7:G7"/>
    <mergeCell ref="A1:G1"/>
    <mergeCell ref="A3:B3"/>
    <mergeCell ref="A4:B4"/>
    <mergeCell ref="A5:B5"/>
    <mergeCell ref="F4:G4"/>
    <mergeCell ref="B8:E8"/>
    <mergeCell ref="F8:G8"/>
    <mergeCell ref="B9:E9"/>
    <mergeCell ref="F9:G9"/>
    <mergeCell ref="B10:E10"/>
    <mergeCell ref="F10:G10"/>
    <mergeCell ref="B11:E11"/>
    <mergeCell ref="F11:G11"/>
    <mergeCell ref="A13:C13"/>
    <mergeCell ref="D13:F13"/>
    <mergeCell ref="A14:C14"/>
    <mergeCell ref="D14:F14"/>
    <mergeCell ref="B30:G30"/>
    <mergeCell ref="A16:G16"/>
    <mergeCell ref="A17:G17"/>
    <mergeCell ref="B19:C19"/>
    <mergeCell ref="B20:C20"/>
    <mergeCell ref="A23:F23"/>
    <mergeCell ref="A24:F24"/>
    <mergeCell ref="B26:G26"/>
    <mergeCell ref="A28:G28"/>
    <mergeCell ref="B29:G29"/>
    <mergeCell ref="B21:C21"/>
    <mergeCell ref="B22:C22"/>
    <mergeCell ref="A20:A22"/>
    <mergeCell ref="A38:G38"/>
    <mergeCell ref="A39:G39"/>
    <mergeCell ref="A40:G40"/>
    <mergeCell ref="B31:G31"/>
    <mergeCell ref="B32:G32"/>
    <mergeCell ref="B33:G33"/>
    <mergeCell ref="B34:G34"/>
    <mergeCell ref="B35:G35"/>
    <mergeCell ref="B36:G3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pageSetUpPr fitToPage="1"/>
  </sheetPr>
  <dimension ref="A1:AD155"/>
  <sheetViews>
    <sheetView showGridLines="0" zoomScale="85" zoomScaleNormal="85" workbookViewId="0">
      <selection activeCell="E8" sqref="E8:F8"/>
    </sheetView>
  </sheetViews>
  <sheetFormatPr defaultColWidth="9.140625" defaultRowHeight="15"/>
  <cols>
    <col min="1" max="1" width="11" style="18" customWidth="1"/>
    <col min="2" max="2" width="72.140625" style="18" customWidth="1"/>
    <col min="3" max="3" width="13.28515625" style="18" customWidth="1"/>
    <col min="4" max="4" width="14.28515625" style="18" customWidth="1"/>
    <col min="5" max="5" width="15.140625" style="18" customWidth="1"/>
    <col min="6" max="6" width="16.5703125" style="18" customWidth="1"/>
    <col min="7" max="7" width="10.85546875" style="18" customWidth="1"/>
    <col min="8" max="8" width="5" style="18" customWidth="1"/>
    <col min="9" max="11" width="16.7109375" style="18" customWidth="1"/>
    <col min="12" max="12" width="18.85546875" style="18" customWidth="1"/>
    <col min="13" max="13" width="7.5703125" style="18" customWidth="1"/>
    <col min="14" max="17" width="15.85546875" style="18" customWidth="1"/>
    <col min="18" max="18" width="19" style="18" customWidth="1"/>
    <col min="19" max="19" width="15.85546875" style="18" customWidth="1"/>
    <col min="20" max="20" width="9.140625" style="18"/>
    <col min="21" max="26" width="15.7109375" style="18" customWidth="1"/>
    <col min="27" max="27" width="9.140625" style="18"/>
    <col min="28" max="30" width="15.7109375" style="18" customWidth="1"/>
    <col min="31" max="16384" width="9.140625" style="18"/>
  </cols>
  <sheetData>
    <row r="1" spans="1:14" ht="24" customHeight="1">
      <c r="A1" s="209" t="s">
        <v>292</v>
      </c>
      <c r="B1" s="210"/>
      <c r="C1" s="210"/>
      <c r="D1" s="210"/>
      <c r="E1" s="210"/>
      <c r="F1" s="211"/>
      <c r="H1" s="248" t="s">
        <v>329</v>
      </c>
      <c r="I1" s="249"/>
      <c r="J1" s="250"/>
      <c r="K1" s="229" t="s">
        <v>374</v>
      </c>
      <c r="L1" s="230"/>
      <c r="M1" s="230"/>
      <c r="N1" s="231"/>
    </row>
    <row r="2" spans="1:14" ht="15.75" customHeight="1">
      <c r="A2" s="212" t="str">
        <f>CONSOLIDAÇÃO!A3</f>
        <v>Nº do Processo: 53542.001883/2023-17</v>
      </c>
      <c r="B2" s="212"/>
      <c r="C2" s="260" t="s">
        <v>145</v>
      </c>
      <c r="D2" s="261"/>
      <c r="E2" s="261"/>
      <c r="F2" s="262"/>
      <c r="H2" s="257"/>
      <c r="I2" s="251" t="s">
        <v>378</v>
      </c>
      <c r="J2" s="252"/>
      <c r="K2" s="232"/>
      <c r="L2" s="233"/>
      <c r="M2" s="233"/>
      <c r="N2" s="234"/>
    </row>
    <row r="3" spans="1:14" ht="15.75" customHeight="1">
      <c r="A3" s="166" t="str">
        <f>CONSOLIDAÇÃO!A4</f>
        <v>Licitação nº: 05/2023</v>
      </c>
      <c r="B3" s="166"/>
      <c r="C3" s="263"/>
      <c r="D3" s="264"/>
      <c r="E3" s="264"/>
      <c r="F3" s="265"/>
      <c r="H3" s="258"/>
      <c r="I3" s="253"/>
      <c r="J3" s="254"/>
      <c r="K3" s="232"/>
      <c r="L3" s="233"/>
      <c r="M3" s="233"/>
      <c r="N3" s="234"/>
    </row>
    <row r="4" spans="1:14">
      <c r="A4" s="167" t="str">
        <f>CONSOLIDAÇÃO!A5</f>
        <v>Dia 06/09/2023 às 09:00 horas</v>
      </c>
      <c r="B4" s="167"/>
      <c r="C4" s="266"/>
      <c r="D4" s="267"/>
      <c r="E4" s="267"/>
      <c r="F4" s="268"/>
      <c r="H4" s="259"/>
      <c r="I4" s="255"/>
      <c r="J4" s="256"/>
      <c r="K4" s="235"/>
      <c r="L4" s="236"/>
      <c r="M4" s="236"/>
      <c r="N4" s="237"/>
    </row>
    <row r="5" spans="1:14">
      <c r="A5" s="35"/>
      <c r="B5" s="35"/>
      <c r="C5" s="35"/>
    </row>
    <row r="6" spans="1:14" ht="18.75">
      <c r="A6" s="144" t="s">
        <v>63</v>
      </c>
      <c r="B6" s="144"/>
      <c r="C6" s="144"/>
      <c r="D6" s="144"/>
      <c r="E6" s="144"/>
      <c r="F6" s="144"/>
    </row>
    <row r="7" spans="1:14">
      <c r="A7" s="39" t="s">
        <v>12</v>
      </c>
      <c r="B7" s="193" t="s">
        <v>64</v>
      </c>
      <c r="C7" s="194"/>
      <c r="D7" s="194"/>
      <c r="E7" s="206">
        <v>45175</v>
      </c>
      <c r="F7" s="206"/>
    </row>
    <row r="8" spans="1:14" ht="15.75" customHeight="1">
      <c r="A8" s="39" t="s">
        <v>14</v>
      </c>
      <c r="B8" s="193" t="s">
        <v>65</v>
      </c>
      <c r="C8" s="194"/>
      <c r="D8" s="194"/>
      <c r="E8" s="198" t="s">
        <v>316</v>
      </c>
      <c r="F8" s="200"/>
    </row>
    <row r="9" spans="1:14">
      <c r="A9" s="39" t="s">
        <v>15</v>
      </c>
      <c r="B9" s="193" t="s">
        <v>66</v>
      </c>
      <c r="C9" s="194"/>
      <c r="D9" s="194"/>
      <c r="E9" s="213" t="s">
        <v>322</v>
      </c>
      <c r="F9" s="214"/>
    </row>
    <row r="10" spans="1:14">
      <c r="A10" s="39" t="s">
        <v>16</v>
      </c>
      <c r="B10" s="193" t="s">
        <v>67</v>
      </c>
      <c r="C10" s="194"/>
      <c r="D10" s="194"/>
      <c r="E10" s="195">
        <v>24</v>
      </c>
      <c r="F10" s="195"/>
    </row>
    <row r="12" spans="1:14" ht="39.75" customHeight="1">
      <c r="A12" s="154" t="s">
        <v>92</v>
      </c>
      <c r="B12" s="156"/>
      <c r="C12" s="154" t="s">
        <v>68</v>
      </c>
      <c r="D12" s="156"/>
      <c r="E12" s="154" t="s">
        <v>69</v>
      </c>
      <c r="F12" s="156"/>
    </row>
    <row r="13" spans="1:14">
      <c r="A13" s="150" t="s">
        <v>93</v>
      </c>
      <c r="B13" s="152"/>
      <c r="C13" s="150" t="s">
        <v>142</v>
      </c>
      <c r="D13" s="152"/>
      <c r="E13" s="196">
        <f>CONSOLIDAÇÃO!G14</f>
        <v>2461.5</v>
      </c>
      <c r="F13" s="197"/>
    </row>
    <row r="14" spans="1:14">
      <c r="E14" s="51"/>
    </row>
    <row r="15" spans="1:14" ht="18.75">
      <c r="A15" s="144" t="s">
        <v>75</v>
      </c>
      <c r="B15" s="144"/>
      <c r="C15" s="144"/>
      <c r="D15" s="144"/>
      <c r="E15" s="144"/>
      <c r="F15" s="144"/>
    </row>
    <row r="17" spans="1:12" ht="18.75">
      <c r="A17" s="269" t="s">
        <v>300</v>
      </c>
      <c r="B17" s="269"/>
      <c r="C17" s="269"/>
      <c r="D17" s="269"/>
      <c r="E17" s="269"/>
      <c r="F17" s="269"/>
    </row>
    <row r="18" spans="1:12" ht="27.75" customHeight="1">
      <c r="A18" s="39">
        <v>1</v>
      </c>
      <c r="B18" s="193" t="s">
        <v>70</v>
      </c>
      <c r="C18" s="194"/>
      <c r="D18" s="207"/>
      <c r="E18" s="147" t="s">
        <v>151</v>
      </c>
      <c r="F18" s="147"/>
    </row>
    <row r="19" spans="1:12">
      <c r="A19" s="39">
        <v>2</v>
      </c>
      <c r="B19" s="193" t="s">
        <v>71</v>
      </c>
      <c r="C19" s="194"/>
      <c r="D19" s="207"/>
      <c r="E19" s="270" t="s">
        <v>144</v>
      </c>
      <c r="F19" s="270"/>
    </row>
    <row r="20" spans="1:12">
      <c r="A20" s="39">
        <v>3</v>
      </c>
      <c r="B20" s="198" t="s">
        <v>72</v>
      </c>
      <c r="C20" s="199"/>
      <c r="D20" s="200"/>
      <c r="E20" s="201">
        <v>1380</v>
      </c>
      <c r="F20" s="201"/>
    </row>
    <row r="21" spans="1:12">
      <c r="A21" s="39">
        <v>4</v>
      </c>
      <c r="B21" s="193" t="s">
        <v>73</v>
      </c>
      <c r="C21" s="194"/>
      <c r="D21" s="207"/>
      <c r="E21" s="147" t="s">
        <v>151</v>
      </c>
      <c r="F21" s="147"/>
    </row>
    <row r="22" spans="1:12">
      <c r="A22" s="39">
        <v>5</v>
      </c>
      <c r="B22" s="193" t="s">
        <v>74</v>
      </c>
      <c r="C22" s="194"/>
      <c r="D22" s="207"/>
      <c r="E22" s="206"/>
      <c r="F22" s="206"/>
    </row>
    <row r="24" spans="1:12">
      <c r="A24" s="202" t="s">
        <v>287</v>
      </c>
      <c r="B24" s="202"/>
      <c r="C24" s="202"/>
      <c r="D24" s="203"/>
      <c r="E24" s="204"/>
      <c r="F24" s="205"/>
    </row>
    <row r="26" spans="1:12">
      <c r="A26" s="208" t="s">
        <v>9</v>
      </c>
      <c r="B26" s="208"/>
      <c r="C26" s="208"/>
      <c r="D26" s="208"/>
      <c r="E26" s="208"/>
      <c r="F26" s="208"/>
    </row>
    <row r="27" spans="1:12">
      <c r="A27" s="50">
        <v>1</v>
      </c>
      <c r="B27" s="170" t="s">
        <v>10</v>
      </c>
      <c r="C27" s="170"/>
      <c r="D27" s="170"/>
      <c r="E27" s="170"/>
      <c r="F27" s="50" t="s">
        <v>11</v>
      </c>
    </row>
    <row r="28" spans="1:12">
      <c r="A28" s="49" t="s">
        <v>12</v>
      </c>
      <c r="B28" s="177" t="s">
        <v>13</v>
      </c>
      <c r="C28" s="177"/>
      <c r="D28" s="177"/>
      <c r="E28" s="177"/>
      <c r="F28" s="72">
        <f>E20</f>
        <v>1380</v>
      </c>
      <c r="G28" s="117" t="s">
        <v>340</v>
      </c>
      <c r="H28" s="226" t="s">
        <v>330</v>
      </c>
      <c r="I28" s="227"/>
      <c r="J28" s="227"/>
      <c r="K28" s="227"/>
      <c r="L28" s="228"/>
    </row>
    <row r="29" spans="1:12">
      <c r="A29" s="49" t="s">
        <v>14</v>
      </c>
      <c r="B29" s="177" t="s">
        <v>20</v>
      </c>
      <c r="C29" s="177"/>
      <c r="D29" s="177"/>
      <c r="E29" s="177"/>
      <c r="F29" s="72">
        <v>0</v>
      </c>
      <c r="G29" s="118"/>
    </row>
    <row r="30" spans="1:12">
      <c r="A30" s="170" t="s">
        <v>0</v>
      </c>
      <c r="B30" s="170"/>
      <c r="C30" s="170"/>
      <c r="D30" s="170"/>
      <c r="E30" s="170"/>
      <c r="F30" s="73">
        <f>ROUND(SUM(F28:F29),2)</f>
        <v>1380</v>
      </c>
      <c r="G30" s="118"/>
    </row>
    <row r="31" spans="1:12">
      <c r="G31" s="118"/>
    </row>
    <row r="32" spans="1:12">
      <c r="A32" s="208" t="s">
        <v>21</v>
      </c>
      <c r="B32" s="208"/>
      <c r="C32" s="208"/>
      <c r="D32" s="208"/>
      <c r="E32" s="208"/>
      <c r="F32" s="208"/>
      <c r="G32" s="118"/>
    </row>
    <row r="33" spans="1:23">
      <c r="A33" s="63"/>
      <c r="G33" s="118"/>
    </row>
    <row r="34" spans="1:23">
      <c r="A34" s="215" t="s">
        <v>88</v>
      </c>
      <c r="B34" s="215"/>
      <c r="C34" s="215"/>
      <c r="D34" s="215"/>
      <c r="E34" s="215"/>
      <c r="F34" s="215"/>
      <c r="G34" s="118"/>
    </row>
    <row r="35" spans="1:23">
      <c r="A35" s="50" t="s">
        <v>22</v>
      </c>
      <c r="B35" s="170" t="s">
        <v>23</v>
      </c>
      <c r="C35" s="170"/>
      <c r="D35" s="170"/>
      <c r="E35" s="170"/>
      <c r="F35" s="50" t="s">
        <v>11</v>
      </c>
      <c r="G35" s="118"/>
    </row>
    <row r="36" spans="1:23">
      <c r="A36" s="49" t="s">
        <v>12</v>
      </c>
      <c r="B36" s="177" t="s">
        <v>24</v>
      </c>
      <c r="C36" s="177"/>
      <c r="D36" s="177"/>
      <c r="E36" s="177"/>
      <c r="F36" s="72">
        <f>ROUND((F30*(1/12)),2)</f>
        <v>115</v>
      </c>
      <c r="G36" s="117" t="s">
        <v>340</v>
      </c>
      <c r="H36" s="220" t="s">
        <v>331</v>
      </c>
      <c r="I36" s="221"/>
      <c r="J36" s="221"/>
      <c r="K36" s="221"/>
      <c r="L36" s="222"/>
    </row>
    <row r="37" spans="1:23" ht="15.75" customHeight="1">
      <c r="A37" s="49" t="s">
        <v>14</v>
      </c>
      <c r="B37" s="177" t="s">
        <v>76</v>
      </c>
      <c r="C37" s="177"/>
      <c r="D37" s="177"/>
      <c r="E37" s="177"/>
      <c r="F37" s="72">
        <f>ROUND((F30*(1/3)*(1/12)),2)</f>
        <v>38.33</v>
      </c>
      <c r="G37" s="117" t="s">
        <v>340</v>
      </c>
      <c r="H37" s="223" t="s">
        <v>332</v>
      </c>
      <c r="I37" s="224"/>
      <c r="J37" s="224"/>
      <c r="K37" s="224"/>
      <c r="L37" s="225"/>
    </row>
    <row r="38" spans="1:23" ht="16.5" customHeight="1">
      <c r="A38" s="170" t="s">
        <v>0</v>
      </c>
      <c r="B38" s="170"/>
      <c r="C38" s="170"/>
      <c r="D38" s="170"/>
      <c r="E38" s="170"/>
      <c r="F38" s="73">
        <f>ROUND(SUM(F36:F37),2)</f>
        <v>153.33000000000001</v>
      </c>
      <c r="G38" s="118"/>
    </row>
    <row r="39" spans="1:23">
      <c r="G39" s="118"/>
    </row>
    <row r="40" spans="1:23">
      <c r="A40" s="271" t="s">
        <v>25</v>
      </c>
      <c r="B40" s="271"/>
      <c r="C40" s="271"/>
      <c r="D40" s="271"/>
      <c r="E40" s="271"/>
      <c r="F40" s="271"/>
      <c r="G40" s="118"/>
    </row>
    <row r="41" spans="1:23">
      <c r="A41" s="50" t="s">
        <v>26</v>
      </c>
      <c r="B41" s="170" t="s">
        <v>27</v>
      </c>
      <c r="C41" s="170"/>
      <c r="D41" s="170"/>
      <c r="E41" s="50" t="s">
        <v>28</v>
      </c>
      <c r="F41" s="50" t="s">
        <v>11</v>
      </c>
      <c r="G41" s="118"/>
    </row>
    <row r="42" spans="1:23" ht="30" customHeight="1">
      <c r="A42" s="49" t="s">
        <v>12</v>
      </c>
      <c r="B42" s="177" t="s">
        <v>29</v>
      </c>
      <c r="C42" s="177"/>
      <c r="D42" s="177"/>
      <c r="E42" s="75">
        <v>0.2</v>
      </c>
      <c r="F42" s="72">
        <f t="shared" ref="F42:F49" si="0">ROUND(($F$30+$F$83+$F$38)*E42,2)</f>
        <v>329.67</v>
      </c>
      <c r="G42" s="119" t="s">
        <v>340</v>
      </c>
      <c r="H42" s="245" t="s">
        <v>333</v>
      </c>
      <c r="I42" s="246"/>
      <c r="J42" s="246"/>
      <c r="K42" s="246"/>
      <c r="L42" s="247"/>
    </row>
    <row r="43" spans="1:23" ht="30" customHeight="1">
      <c r="A43" s="49" t="s">
        <v>14</v>
      </c>
      <c r="B43" s="177" t="s">
        <v>94</v>
      </c>
      <c r="C43" s="177"/>
      <c r="D43" s="177"/>
      <c r="E43" s="75">
        <v>0</v>
      </c>
      <c r="F43" s="72">
        <f t="shared" si="0"/>
        <v>0</v>
      </c>
      <c r="G43" s="119" t="s">
        <v>340</v>
      </c>
      <c r="H43" s="245" t="s">
        <v>334</v>
      </c>
      <c r="I43" s="246"/>
      <c r="J43" s="246"/>
      <c r="K43" s="246"/>
      <c r="L43" s="247"/>
      <c r="N43" s="115" t="s">
        <v>323</v>
      </c>
      <c r="O43" s="115" t="s">
        <v>325</v>
      </c>
      <c r="P43" s="115" t="s">
        <v>326</v>
      </c>
      <c r="Q43" s="115" t="s">
        <v>327</v>
      </c>
      <c r="R43" s="115" t="s">
        <v>328</v>
      </c>
      <c r="S43" s="115" t="s">
        <v>342</v>
      </c>
      <c r="U43" s="115" t="s">
        <v>356</v>
      </c>
      <c r="V43" s="115" t="s">
        <v>354</v>
      </c>
      <c r="W43" s="115" t="s">
        <v>355</v>
      </c>
    </row>
    <row r="44" spans="1:23" ht="30" customHeight="1">
      <c r="A44" s="74" t="s">
        <v>15</v>
      </c>
      <c r="B44" s="191" t="s">
        <v>30</v>
      </c>
      <c r="C44" s="191"/>
      <c r="D44" s="191"/>
      <c r="E44" s="75">
        <v>1.4999999999999999E-2</v>
      </c>
      <c r="F44" s="72">
        <f t="shared" si="0"/>
        <v>24.72</v>
      </c>
      <c r="G44" s="119" t="s">
        <v>340</v>
      </c>
      <c r="H44" s="245" t="s">
        <v>341</v>
      </c>
      <c r="I44" s="246"/>
      <c r="J44" s="246"/>
      <c r="K44" s="246"/>
      <c r="L44" s="247"/>
      <c r="N44" s="116">
        <v>0.03</v>
      </c>
      <c r="O44" s="116">
        <v>0.03</v>
      </c>
      <c r="P44" s="116">
        <v>0.03</v>
      </c>
      <c r="Q44" s="116">
        <v>0.02</v>
      </c>
      <c r="R44" s="116">
        <v>0.03</v>
      </c>
      <c r="S44" s="120">
        <v>0.01</v>
      </c>
      <c r="U44" s="116">
        <f>AVERAGE(N44:S44)</f>
        <v>2.5000000000000005E-2</v>
      </c>
      <c r="V44" s="116">
        <f>U44*0.5</f>
        <v>1.2500000000000002E-2</v>
      </c>
      <c r="W44" s="116">
        <f>U44*1.5</f>
        <v>3.7500000000000006E-2</v>
      </c>
    </row>
    <row r="45" spans="1:23" ht="30" customHeight="1">
      <c r="A45" s="49" t="s">
        <v>16</v>
      </c>
      <c r="B45" s="177" t="s">
        <v>95</v>
      </c>
      <c r="C45" s="177"/>
      <c r="D45" s="177"/>
      <c r="E45" s="75">
        <v>0</v>
      </c>
      <c r="F45" s="72">
        <f t="shared" si="0"/>
        <v>0</v>
      </c>
      <c r="G45" s="119" t="s">
        <v>340</v>
      </c>
      <c r="H45" s="245" t="s">
        <v>335</v>
      </c>
      <c r="I45" s="246"/>
      <c r="J45" s="246"/>
      <c r="K45" s="246"/>
      <c r="L45" s="247"/>
    </row>
    <row r="46" spans="1:23" ht="30" customHeight="1">
      <c r="A46" s="49" t="s">
        <v>17</v>
      </c>
      <c r="B46" s="177" t="s">
        <v>96</v>
      </c>
      <c r="C46" s="177"/>
      <c r="D46" s="177"/>
      <c r="E46" s="75">
        <v>0</v>
      </c>
      <c r="F46" s="72">
        <f t="shared" si="0"/>
        <v>0</v>
      </c>
      <c r="G46" s="119" t="s">
        <v>340</v>
      </c>
      <c r="H46" s="245" t="s">
        <v>336</v>
      </c>
      <c r="I46" s="246"/>
      <c r="J46" s="246"/>
      <c r="K46" s="246"/>
      <c r="L46" s="247"/>
    </row>
    <row r="47" spans="1:23" ht="30" customHeight="1">
      <c r="A47" s="49" t="s">
        <v>18</v>
      </c>
      <c r="B47" s="177" t="s">
        <v>97</v>
      </c>
      <c r="C47" s="177"/>
      <c r="D47" s="177"/>
      <c r="E47" s="75">
        <v>0</v>
      </c>
      <c r="F47" s="72">
        <f t="shared" si="0"/>
        <v>0</v>
      </c>
      <c r="G47" s="119" t="s">
        <v>340</v>
      </c>
      <c r="H47" s="245" t="s">
        <v>337</v>
      </c>
      <c r="I47" s="246"/>
      <c r="J47" s="246"/>
      <c r="K47" s="246"/>
      <c r="L47" s="247"/>
    </row>
    <row r="48" spans="1:23" ht="30" customHeight="1">
      <c r="A48" s="49" t="s">
        <v>19</v>
      </c>
      <c r="B48" s="177" t="s">
        <v>2</v>
      </c>
      <c r="C48" s="177"/>
      <c r="D48" s="177"/>
      <c r="E48" s="75">
        <v>0</v>
      </c>
      <c r="F48" s="72">
        <f t="shared" si="0"/>
        <v>0</v>
      </c>
      <c r="G48" s="119" t="s">
        <v>340</v>
      </c>
      <c r="H48" s="245" t="s">
        <v>338</v>
      </c>
      <c r="I48" s="246"/>
      <c r="J48" s="246"/>
      <c r="K48" s="246"/>
      <c r="L48" s="247"/>
    </row>
    <row r="49" spans="1:30" ht="30" customHeight="1">
      <c r="A49" s="49" t="s">
        <v>31</v>
      </c>
      <c r="B49" s="177" t="s">
        <v>3</v>
      </c>
      <c r="C49" s="177"/>
      <c r="D49" s="177"/>
      <c r="E49" s="75">
        <v>0.08</v>
      </c>
      <c r="F49" s="72">
        <f t="shared" si="0"/>
        <v>131.87</v>
      </c>
      <c r="G49" s="119" t="s">
        <v>340</v>
      </c>
      <c r="H49" s="245" t="s">
        <v>339</v>
      </c>
      <c r="I49" s="246"/>
      <c r="J49" s="246"/>
      <c r="K49" s="246"/>
      <c r="L49" s="247"/>
    </row>
    <row r="50" spans="1:30" ht="16.5" customHeight="1">
      <c r="A50" s="170" t="s">
        <v>32</v>
      </c>
      <c r="B50" s="170"/>
      <c r="C50" s="170"/>
      <c r="D50" s="170"/>
      <c r="E50" s="76">
        <f>ROUND(SUM(E42:E49),4)</f>
        <v>0.29499999999999998</v>
      </c>
      <c r="F50" s="73">
        <f>ROUND(SUM(F42:F49),2)</f>
        <v>486.26</v>
      </c>
      <c r="G50" s="118"/>
    </row>
    <row r="51" spans="1:30">
      <c r="A51" s="238" t="s">
        <v>98</v>
      </c>
      <c r="B51" s="238"/>
      <c r="C51" s="238"/>
      <c r="D51" s="238"/>
      <c r="E51" s="238"/>
      <c r="F51" s="238"/>
      <c r="G51" s="118"/>
    </row>
    <row r="52" spans="1:30">
      <c r="G52" s="118"/>
      <c r="L52" s="21"/>
    </row>
    <row r="53" spans="1:30">
      <c r="A53" s="215" t="s">
        <v>33</v>
      </c>
      <c r="B53" s="215"/>
      <c r="C53" s="215"/>
      <c r="D53" s="215"/>
      <c r="E53" s="215"/>
      <c r="F53" s="215"/>
      <c r="G53" s="118"/>
    </row>
    <row r="54" spans="1:30">
      <c r="A54" s="50" t="s">
        <v>34</v>
      </c>
      <c r="B54" s="170" t="s">
        <v>35</v>
      </c>
      <c r="C54" s="170"/>
      <c r="D54" s="170"/>
      <c r="E54" s="170"/>
      <c r="F54" s="50" t="s">
        <v>11</v>
      </c>
      <c r="G54" s="118"/>
    </row>
    <row r="55" spans="1:30" ht="30" customHeight="1">
      <c r="A55" s="49" t="s">
        <v>12</v>
      </c>
      <c r="B55" s="177" t="s">
        <v>36</v>
      </c>
      <c r="C55" s="177"/>
      <c r="D55" s="177"/>
      <c r="E55" s="177"/>
      <c r="F55" s="72">
        <f>ROUND((4.3*2*MMDT!H2)-(F28*6%),2)</f>
        <v>95.99</v>
      </c>
      <c r="G55" s="119" t="s">
        <v>340</v>
      </c>
      <c r="H55" s="245" t="s">
        <v>375</v>
      </c>
      <c r="I55" s="246"/>
      <c r="J55" s="246"/>
      <c r="K55" s="246"/>
      <c r="L55" s="247"/>
      <c r="M55" s="239" t="s">
        <v>344</v>
      </c>
      <c r="N55" s="240"/>
      <c r="O55" s="240"/>
      <c r="P55" s="240"/>
      <c r="Q55" s="241"/>
    </row>
    <row r="56" spans="1:30" ht="30" customHeight="1">
      <c r="A56" s="49" t="s">
        <v>14</v>
      </c>
      <c r="B56" s="177" t="s">
        <v>37</v>
      </c>
      <c r="C56" s="177"/>
      <c r="D56" s="177"/>
      <c r="E56" s="177"/>
      <c r="F56" s="72">
        <f>ROUND((18.2*MMDT!H2)*(1-11%),2)</f>
        <v>336.76</v>
      </c>
      <c r="G56" s="119" t="s">
        <v>340</v>
      </c>
      <c r="H56" s="245" t="s">
        <v>345</v>
      </c>
      <c r="I56" s="246"/>
      <c r="J56" s="246"/>
      <c r="K56" s="246"/>
      <c r="L56" s="247"/>
      <c r="M56" s="242"/>
      <c r="N56" s="243"/>
      <c r="O56" s="243"/>
      <c r="P56" s="243"/>
      <c r="Q56" s="244"/>
      <c r="U56" s="135" t="s">
        <v>376</v>
      </c>
    </row>
    <row r="57" spans="1:30" ht="30" customHeight="1">
      <c r="A57" s="49" t="s">
        <v>15</v>
      </c>
      <c r="B57" s="177" t="s">
        <v>152</v>
      </c>
      <c r="C57" s="177"/>
      <c r="D57" s="177"/>
      <c r="E57" s="177"/>
      <c r="F57" s="129">
        <v>7</v>
      </c>
      <c r="G57" s="119" t="s">
        <v>340</v>
      </c>
      <c r="H57" s="245" t="s">
        <v>343</v>
      </c>
      <c r="I57" s="246"/>
      <c r="J57" s="246"/>
      <c r="K57" s="246"/>
      <c r="L57" s="247"/>
      <c r="M57" s="64"/>
      <c r="N57" s="64"/>
      <c r="O57" s="64"/>
      <c r="P57" s="64"/>
      <c r="Q57" s="64"/>
      <c r="U57" s="115" t="s">
        <v>323</v>
      </c>
      <c r="V57" s="115" t="s">
        <v>325</v>
      </c>
      <c r="W57" s="115" t="s">
        <v>326</v>
      </c>
      <c r="X57" s="115" t="s">
        <v>327</v>
      </c>
      <c r="Y57" s="115" t="s">
        <v>328</v>
      </c>
      <c r="Z57" s="115" t="s">
        <v>342</v>
      </c>
      <c r="AB57" s="115" t="s">
        <v>356</v>
      </c>
      <c r="AC57" s="115" t="s">
        <v>354</v>
      </c>
      <c r="AD57" s="115" t="s">
        <v>355</v>
      </c>
    </row>
    <row r="58" spans="1:30" ht="30" customHeight="1">
      <c r="A58" s="49" t="s">
        <v>16</v>
      </c>
      <c r="B58" s="177" t="s">
        <v>346</v>
      </c>
      <c r="C58" s="177"/>
      <c r="D58" s="177"/>
      <c r="E58" s="177"/>
      <c r="F58" s="129">
        <f>(12.54-2.54)+(3.5)</f>
        <v>13.5</v>
      </c>
      <c r="G58" s="119" t="s">
        <v>340</v>
      </c>
      <c r="H58" s="245" t="s">
        <v>377</v>
      </c>
      <c r="I58" s="246"/>
      <c r="J58" s="246"/>
      <c r="K58" s="246"/>
      <c r="L58" s="247"/>
      <c r="M58" s="64"/>
      <c r="N58" s="64"/>
      <c r="O58" s="64"/>
      <c r="P58" s="64"/>
      <c r="Q58" s="64"/>
      <c r="U58" s="131"/>
      <c r="V58" s="134">
        <v>2.54</v>
      </c>
      <c r="W58" s="131">
        <v>12.54</v>
      </c>
      <c r="X58" s="131"/>
      <c r="Y58" s="131"/>
      <c r="Z58" s="134">
        <v>2.54</v>
      </c>
      <c r="AA58" s="132"/>
      <c r="AB58" s="133">
        <f>AVERAGE(W58)</f>
        <v>12.54</v>
      </c>
      <c r="AC58" s="133">
        <f>AB58*0.5</f>
        <v>6.27</v>
      </c>
      <c r="AD58" s="133">
        <f>AB58*1.5</f>
        <v>18.809999999999999</v>
      </c>
    </row>
    <row r="59" spans="1:30">
      <c r="A59" s="170" t="s">
        <v>0</v>
      </c>
      <c r="B59" s="170"/>
      <c r="C59" s="170"/>
      <c r="D59" s="170"/>
      <c r="E59" s="170"/>
      <c r="F59" s="73">
        <f>ROUND(SUM(F55:F58),2)</f>
        <v>453.25</v>
      </c>
      <c r="M59" s="64"/>
      <c r="N59" s="64"/>
      <c r="O59" s="64"/>
      <c r="P59" s="64"/>
      <c r="Q59" s="64"/>
    </row>
    <row r="60" spans="1:30">
      <c r="M60" s="64"/>
      <c r="N60" s="64"/>
      <c r="O60" s="64"/>
      <c r="P60" s="64"/>
      <c r="Q60" s="64"/>
    </row>
    <row r="61" spans="1:30">
      <c r="A61" s="215" t="s">
        <v>38</v>
      </c>
      <c r="B61" s="215"/>
      <c r="C61" s="215"/>
      <c r="D61" s="215"/>
      <c r="E61" s="215"/>
      <c r="F61" s="215"/>
    </row>
    <row r="62" spans="1:30">
      <c r="A62" s="50">
        <v>2</v>
      </c>
      <c r="B62" s="170" t="s">
        <v>39</v>
      </c>
      <c r="C62" s="170"/>
      <c r="D62" s="170"/>
      <c r="E62" s="170"/>
      <c r="F62" s="50" t="s">
        <v>11</v>
      </c>
    </row>
    <row r="63" spans="1:30" ht="30" customHeight="1">
      <c r="A63" s="49" t="s">
        <v>22</v>
      </c>
      <c r="B63" s="177" t="s">
        <v>77</v>
      </c>
      <c r="C63" s="177"/>
      <c r="D63" s="177"/>
      <c r="E63" s="177"/>
      <c r="F63" s="34">
        <f>F38</f>
        <v>153.33000000000001</v>
      </c>
    </row>
    <row r="64" spans="1:30" ht="30" customHeight="1">
      <c r="A64" s="49" t="s">
        <v>26</v>
      </c>
      <c r="B64" s="177" t="s">
        <v>27</v>
      </c>
      <c r="C64" s="177"/>
      <c r="D64" s="177"/>
      <c r="E64" s="177"/>
      <c r="F64" s="34">
        <f>F50</f>
        <v>486.26</v>
      </c>
    </row>
    <row r="65" spans="1:12" ht="30" customHeight="1">
      <c r="A65" s="49" t="s">
        <v>34</v>
      </c>
      <c r="B65" s="177" t="s">
        <v>35</v>
      </c>
      <c r="C65" s="177"/>
      <c r="D65" s="177"/>
      <c r="E65" s="177"/>
      <c r="F65" s="34">
        <f>F59</f>
        <v>453.25</v>
      </c>
    </row>
    <row r="66" spans="1:12">
      <c r="A66" s="170" t="s">
        <v>0</v>
      </c>
      <c r="B66" s="170"/>
      <c r="C66" s="170"/>
      <c r="D66" s="170"/>
      <c r="E66" s="170"/>
      <c r="F66" s="73">
        <f>ROUND(SUM(F63:F65),2)</f>
        <v>1092.8399999999999</v>
      </c>
    </row>
    <row r="67" spans="1:12">
      <c r="A67" s="65"/>
    </row>
    <row r="68" spans="1:12">
      <c r="A68" s="208" t="s">
        <v>40</v>
      </c>
      <c r="B68" s="208"/>
      <c r="C68" s="208"/>
      <c r="D68" s="208"/>
      <c r="E68" s="208"/>
      <c r="F68" s="208"/>
    </row>
    <row r="69" spans="1:12">
      <c r="A69" s="77">
        <v>3</v>
      </c>
      <c r="B69" s="189" t="s">
        <v>41</v>
      </c>
      <c r="C69" s="189"/>
      <c r="D69" s="189"/>
      <c r="E69" s="189"/>
      <c r="F69" s="77" t="s">
        <v>11</v>
      </c>
    </row>
    <row r="70" spans="1:12" ht="30" customHeight="1">
      <c r="A70" s="78" t="s">
        <v>12</v>
      </c>
      <c r="B70" s="191" t="s">
        <v>42</v>
      </c>
      <c r="C70" s="191"/>
      <c r="D70" s="191"/>
      <c r="E70" s="191"/>
      <c r="F70" s="72">
        <f>ROUND(((($F$30+$F$36+$F$37+$F$83)*0.5)+($F$30*3/30)*0.5)/24,2)</f>
        <v>37.22</v>
      </c>
      <c r="G70" s="119" t="s">
        <v>340</v>
      </c>
      <c r="H70" s="278" t="s">
        <v>370</v>
      </c>
      <c r="I70" s="279"/>
      <c r="J70" s="279"/>
      <c r="K70" s="279"/>
      <c r="L70" s="280"/>
    </row>
    <row r="71" spans="1:12" ht="30" customHeight="1">
      <c r="A71" s="78" t="s">
        <v>14</v>
      </c>
      <c r="B71" s="190" t="s">
        <v>43</v>
      </c>
      <c r="C71" s="190"/>
      <c r="D71" s="190"/>
      <c r="E71" s="190"/>
      <c r="F71" s="72">
        <f>ROUND(F70*0.08,2)</f>
        <v>2.98</v>
      </c>
      <c r="G71" s="119" t="s">
        <v>340</v>
      </c>
      <c r="H71" s="278" t="s">
        <v>347</v>
      </c>
      <c r="I71" s="279"/>
      <c r="J71" s="279"/>
      <c r="K71" s="279"/>
      <c r="L71" s="280"/>
    </row>
    <row r="72" spans="1:12" ht="30" customHeight="1">
      <c r="A72" s="78" t="s">
        <v>15</v>
      </c>
      <c r="B72" s="191" t="s">
        <v>78</v>
      </c>
      <c r="C72" s="191"/>
      <c r="D72" s="191"/>
      <c r="E72" s="191"/>
      <c r="F72" s="72">
        <f>ROUND((F49*0.4)*0.5,2)</f>
        <v>26.37</v>
      </c>
      <c r="G72" s="119" t="s">
        <v>340</v>
      </c>
      <c r="H72" s="278" t="s">
        <v>369</v>
      </c>
      <c r="I72" s="279"/>
      <c r="J72" s="279"/>
      <c r="K72" s="279"/>
      <c r="L72" s="280"/>
    </row>
    <row r="73" spans="1:12" ht="30" customHeight="1">
      <c r="A73" s="78" t="s">
        <v>16</v>
      </c>
      <c r="B73" s="191" t="s">
        <v>44</v>
      </c>
      <c r="C73" s="191"/>
      <c r="D73" s="191"/>
      <c r="E73" s="191"/>
      <c r="F73" s="72">
        <f>ROUND(((((F30+F36+F37+F83)/30)*7)*0.5)/24,2)</f>
        <v>8.01</v>
      </c>
      <c r="G73" s="119" t="s">
        <v>340</v>
      </c>
      <c r="H73" s="278" t="s">
        <v>371</v>
      </c>
      <c r="I73" s="279"/>
      <c r="J73" s="279"/>
      <c r="K73" s="279"/>
      <c r="L73" s="280"/>
    </row>
    <row r="74" spans="1:12" ht="30" customHeight="1">
      <c r="A74" s="78" t="s">
        <v>17</v>
      </c>
      <c r="B74" s="190" t="s">
        <v>45</v>
      </c>
      <c r="C74" s="190"/>
      <c r="D74" s="190"/>
      <c r="E74" s="190"/>
      <c r="F74" s="72">
        <f>ROUND(F73*E50,2)</f>
        <v>2.36</v>
      </c>
      <c r="G74" s="119" t="s">
        <v>340</v>
      </c>
      <c r="H74" s="278" t="s">
        <v>372</v>
      </c>
      <c r="I74" s="279"/>
      <c r="J74" s="279"/>
      <c r="K74" s="279"/>
      <c r="L74" s="280"/>
    </row>
    <row r="75" spans="1:12" ht="30" customHeight="1">
      <c r="A75" s="78" t="s">
        <v>18</v>
      </c>
      <c r="B75" s="191" t="s">
        <v>79</v>
      </c>
      <c r="C75" s="191"/>
      <c r="D75" s="191"/>
      <c r="E75" s="191"/>
      <c r="F75" s="72">
        <f>ROUND((F49*0.4)*0.5,2)</f>
        <v>26.37</v>
      </c>
      <c r="G75" s="119" t="s">
        <v>340</v>
      </c>
      <c r="H75" s="278" t="s">
        <v>369</v>
      </c>
      <c r="I75" s="279"/>
      <c r="J75" s="279"/>
      <c r="K75" s="279"/>
      <c r="L75" s="280"/>
    </row>
    <row r="76" spans="1:12" ht="30" customHeight="1">
      <c r="A76" s="78" t="s">
        <v>19</v>
      </c>
      <c r="B76" s="190" t="s">
        <v>20</v>
      </c>
      <c r="C76" s="190"/>
      <c r="D76" s="190"/>
      <c r="E76" s="190"/>
      <c r="F76" s="72">
        <v>0</v>
      </c>
      <c r="G76" s="119"/>
      <c r="H76" s="272" t="s">
        <v>373</v>
      </c>
      <c r="I76" s="273"/>
      <c r="J76" s="273"/>
      <c r="K76" s="273"/>
      <c r="L76" s="274"/>
    </row>
    <row r="77" spans="1:12">
      <c r="A77" s="217" t="s">
        <v>0</v>
      </c>
      <c r="B77" s="218"/>
      <c r="C77" s="218"/>
      <c r="D77" s="218"/>
      <c r="E77" s="219"/>
      <c r="F77" s="79">
        <f>ROUND(SUM(F70:F76),2)</f>
        <v>103.31</v>
      </c>
    </row>
    <row r="79" spans="1:12">
      <c r="A79" s="208" t="s">
        <v>46</v>
      </c>
      <c r="B79" s="208"/>
      <c r="C79" s="208"/>
      <c r="D79" s="208"/>
      <c r="E79" s="208"/>
      <c r="F79" s="208"/>
    </row>
    <row r="81" spans="1:23">
      <c r="A81" s="215" t="s">
        <v>81</v>
      </c>
      <c r="B81" s="215"/>
      <c r="C81" s="215"/>
      <c r="D81" s="215"/>
      <c r="E81" s="215"/>
      <c r="F81" s="215"/>
    </row>
    <row r="82" spans="1:23">
      <c r="A82" s="50" t="s">
        <v>47</v>
      </c>
      <c r="B82" s="170" t="s">
        <v>83</v>
      </c>
      <c r="C82" s="170"/>
      <c r="D82" s="170"/>
      <c r="E82" s="170"/>
      <c r="F82" s="50" t="s">
        <v>11</v>
      </c>
    </row>
    <row r="83" spans="1:23" ht="30" customHeight="1">
      <c r="A83" s="49" t="s">
        <v>12</v>
      </c>
      <c r="B83" s="177" t="s">
        <v>1</v>
      </c>
      <c r="C83" s="177"/>
      <c r="D83" s="177"/>
      <c r="E83" s="177"/>
      <c r="F83" s="72">
        <f>ROUND(F30/12,2)</f>
        <v>115</v>
      </c>
      <c r="G83" s="119" t="s">
        <v>340</v>
      </c>
      <c r="H83" s="278" t="s">
        <v>348</v>
      </c>
      <c r="I83" s="279"/>
      <c r="J83" s="279"/>
      <c r="K83" s="279"/>
      <c r="L83" s="280"/>
    </row>
    <row r="84" spans="1:23" ht="16.5" customHeight="1">
      <c r="A84" s="63"/>
      <c r="B84" s="63"/>
    </row>
    <row r="85" spans="1:23" ht="15.75" customHeight="1">
      <c r="A85" s="215" t="s">
        <v>84</v>
      </c>
      <c r="B85" s="215"/>
      <c r="C85" s="215"/>
      <c r="D85" s="215"/>
      <c r="E85" s="215"/>
      <c r="F85" s="215"/>
    </row>
    <row r="86" spans="1:23" ht="30">
      <c r="A86" s="77" t="s">
        <v>51</v>
      </c>
      <c r="B86" s="189" t="s">
        <v>82</v>
      </c>
      <c r="C86" s="189"/>
      <c r="D86" s="189"/>
      <c r="E86" s="189"/>
      <c r="F86" s="77" t="s">
        <v>11</v>
      </c>
      <c r="N86" s="115" t="s">
        <v>323</v>
      </c>
      <c r="O86" s="115" t="s">
        <v>325</v>
      </c>
      <c r="P86" s="115" t="s">
        <v>326</v>
      </c>
      <c r="Q86" s="115" t="s">
        <v>327</v>
      </c>
      <c r="R86" s="115" t="s">
        <v>328</v>
      </c>
      <c r="S86" s="115" t="s">
        <v>342</v>
      </c>
      <c r="U86" s="115" t="s">
        <v>356</v>
      </c>
      <c r="V86" s="115" t="s">
        <v>354</v>
      </c>
      <c r="W86" s="115" t="s">
        <v>355</v>
      </c>
    </row>
    <row r="87" spans="1:23" ht="30" customHeight="1">
      <c r="A87" s="78" t="s">
        <v>12</v>
      </c>
      <c r="B87" s="190" t="s">
        <v>48</v>
      </c>
      <c r="C87" s="190"/>
      <c r="D87" s="190"/>
      <c r="E87" s="190"/>
      <c r="F87" s="72">
        <f>ROUND($F$30*AVERAGE(N87:O87),2)</f>
        <v>32.43</v>
      </c>
      <c r="G87" s="281" t="s">
        <v>340</v>
      </c>
      <c r="H87" s="282" t="s">
        <v>349</v>
      </c>
      <c r="I87" s="283"/>
      <c r="J87" s="283"/>
      <c r="K87" s="283"/>
      <c r="L87" s="284"/>
      <c r="N87" s="130">
        <v>2.4799999999999999E-2</v>
      </c>
      <c r="O87" s="130">
        <v>2.2200000000000001E-2</v>
      </c>
      <c r="P87" s="120">
        <v>2.7799999999999999E-3</v>
      </c>
      <c r="Q87" s="120">
        <v>2.0000000000000001E-4</v>
      </c>
      <c r="R87" s="120">
        <v>5.5560000000000002E-3</v>
      </c>
      <c r="S87" s="120">
        <v>2.8E-3</v>
      </c>
      <c r="U87" s="116">
        <f>AVERAGE(N87,O87)</f>
        <v>2.35E-2</v>
      </c>
      <c r="V87" s="116">
        <f>U87*0.5</f>
        <v>1.175E-2</v>
      </c>
      <c r="W87" s="116">
        <f>U87*1.5</f>
        <v>3.5250000000000004E-2</v>
      </c>
    </row>
    <row r="88" spans="1:23" ht="30" customHeight="1">
      <c r="A88" s="78" t="s">
        <v>14</v>
      </c>
      <c r="B88" s="190" t="s">
        <v>49</v>
      </c>
      <c r="C88" s="190"/>
      <c r="D88" s="190"/>
      <c r="E88" s="190"/>
      <c r="F88" s="72">
        <f>ROUND($F$30*AVERAGE(N88,O88,Q88,R88,S88),2)</f>
        <v>0.41</v>
      </c>
      <c r="G88" s="281"/>
      <c r="H88" s="285"/>
      <c r="I88" s="286"/>
      <c r="J88" s="286"/>
      <c r="K88" s="286"/>
      <c r="L88" s="287"/>
      <c r="N88" s="130">
        <v>2.0000000000000001E-4</v>
      </c>
      <c r="O88" s="130">
        <v>4.0000000000000002E-4</v>
      </c>
      <c r="P88" s="120">
        <v>8.0000000000000004E-4</v>
      </c>
      <c r="Q88" s="130">
        <v>2.0000000000000001E-4</v>
      </c>
      <c r="R88" s="130">
        <v>2.7799999999999998E-4</v>
      </c>
      <c r="S88" s="130">
        <v>4.0000000000000002E-4</v>
      </c>
      <c r="U88" s="116">
        <f>AVERAGE(O88,R88,S88)</f>
        <v>3.593333333333333E-4</v>
      </c>
      <c r="V88" s="116">
        <f t="shared" ref="V88:V91" si="1">U88*0.5</f>
        <v>1.7966666666666665E-4</v>
      </c>
      <c r="W88" s="116">
        <f t="shared" ref="W88:W91" si="2">U88*1.5</f>
        <v>5.3899999999999998E-4</v>
      </c>
    </row>
    <row r="89" spans="1:23" ht="30" customHeight="1">
      <c r="A89" s="78" t="s">
        <v>15</v>
      </c>
      <c r="B89" s="190" t="s">
        <v>50</v>
      </c>
      <c r="C89" s="190"/>
      <c r="D89" s="190"/>
      <c r="E89" s="190"/>
      <c r="F89" s="72">
        <f>ROUND($F$30*AVERAGE(N89,O89,Q89),2)</f>
        <v>0.41</v>
      </c>
      <c r="G89" s="281"/>
      <c r="H89" s="285"/>
      <c r="I89" s="286"/>
      <c r="J89" s="286"/>
      <c r="K89" s="286"/>
      <c r="L89" s="287"/>
      <c r="N89" s="130">
        <v>2.9999999999999997E-4</v>
      </c>
      <c r="O89" s="130">
        <v>2.0000000000000001E-4</v>
      </c>
      <c r="P89" s="120">
        <v>2.5000000000000001E-3</v>
      </c>
      <c r="Q89" s="130">
        <v>4.0000000000000002E-4</v>
      </c>
      <c r="R89" s="120">
        <v>8.3330000000000003E-4</v>
      </c>
      <c r="S89" s="120">
        <v>2.7000000000000001E-3</v>
      </c>
      <c r="U89" s="116">
        <f>AVERAGE(N89,O89,Q89,R89)</f>
        <v>4.3332500000000003E-4</v>
      </c>
      <c r="V89" s="116">
        <f t="shared" si="1"/>
        <v>2.1666250000000001E-4</v>
      </c>
      <c r="W89" s="116">
        <f t="shared" si="2"/>
        <v>6.4998750000000004E-4</v>
      </c>
    </row>
    <row r="90" spans="1:23" ht="30" customHeight="1">
      <c r="A90" s="78" t="s">
        <v>16</v>
      </c>
      <c r="B90" s="190" t="s">
        <v>80</v>
      </c>
      <c r="C90" s="190"/>
      <c r="D90" s="190"/>
      <c r="E90" s="190"/>
      <c r="F90" s="72">
        <f>ROUND($F$30*AVERAGE(S90),2)</f>
        <v>0.55000000000000004</v>
      </c>
      <c r="G90" s="281"/>
      <c r="H90" s="285"/>
      <c r="I90" s="286"/>
      <c r="J90" s="286"/>
      <c r="K90" s="286"/>
      <c r="L90" s="287"/>
      <c r="N90" s="130"/>
      <c r="O90" s="130"/>
      <c r="P90" s="130"/>
      <c r="Q90" s="130"/>
      <c r="R90" s="130"/>
      <c r="S90" s="130">
        <v>4.0000000000000002E-4</v>
      </c>
      <c r="U90" s="116">
        <f t="shared" ref="U90" si="3">AVERAGE(N90:S90)</f>
        <v>4.0000000000000002E-4</v>
      </c>
      <c r="V90" s="116">
        <f t="shared" si="1"/>
        <v>2.0000000000000001E-4</v>
      </c>
      <c r="W90" s="116">
        <f t="shared" si="2"/>
        <v>6.0000000000000006E-4</v>
      </c>
    </row>
    <row r="91" spans="1:23" ht="30" customHeight="1">
      <c r="A91" s="78" t="s">
        <v>18</v>
      </c>
      <c r="B91" s="190" t="s">
        <v>119</v>
      </c>
      <c r="C91" s="190"/>
      <c r="D91" s="190"/>
      <c r="E91" s="190"/>
      <c r="F91" s="72">
        <f>ROUND($F$30*AVERAGE(O91),2)</f>
        <v>1.93</v>
      </c>
      <c r="G91" s="281"/>
      <c r="H91" s="288"/>
      <c r="I91" s="289"/>
      <c r="J91" s="289"/>
      <c r="K91" s="289"/>
      <c r="L91" s="290"/>
      <c r="N91" s="120">
        <v>2.9999999999999997E-4</v>
      </c>
      <c r="O91" s="130">
        <v>1.4E-3</v>
      </c>
      <c r="P91" s="120">
        <v>2.9999999999999997E-4</v>
      </c>
      <c r="Q91" s="120">
        <v>4.7000000000000002E-3</v>
      </c>
      <c r="R91" s="120">
        <v>3.6999999999999999E-4</v>
      </c>
      <c r="S91" s="120">
        <v>1.66E-2</v>
      </c>
      <c r="U91" s="116">
        <f>AVERAGE(N91:R91)</f>
        <v>1.4139999999999999E-3</v>
      </c>
      <c r="V91" s="116">
        <f t="shared" si="1"/>
        <v>7.0699999999999995E-4</v>
      </c>
      <c r="W91" s="116">
        <f t="shared" si="2"/>
        <v>2.1209999999999996E-3</v>
      </c>
    </row>
    <row r="92" spans="1:23" ht="30" customHeight="1">
      <c r="A92" s="78" t="s">
        <v>19</v>
      </c>
      <c r="B92" s="190" t="s">
        <v>20</v>
      </c>
      <c r="C92" s="190"/>
      <c r="D92" s="190"/>
      <c r="E92" s="190"/>
      <c r="F92" s="72">
        <v>0</v>
      </c>
      <c r="G92" s="281"/>
    </row>
    <row r="93" spans="1:23">
      <c r="A93" s="189" t="s">
        <v>32</v>
      </c>
      <c r="B93" s="189"/>
      <c r="C93" s="189"/>
      <c r="D93" s="189"/>
      <c r="E93" s="189"/>
      <c r="F93" s="79">
        <f>ROUND(SUM(F87:F92),2)</f>
        <v>35.729999999999997</v>
      </c>
    </row>
    <row r="94" spans="1:23">
      <c r="A94" s="67"/>
      <c r="B94" s="67"/>
      <c r="C94" s="67"/>
      <c r="D94" s="67"/>
      <c r="E94" s="68"/>
      <c r="F94" s="69"/>
    </row>
    <row r="95" spans="1:23">
      <c r="A95" s="215" t="s">
        <v>52</v>
      </c>
      <c r="B95" s="215"/>
      <c r="C95" s="215"/>
      <c r="D95" s="215"/>
      <c r="E95" s="215"/>
      <c r="F95" s="215"/>
    </row>
    <row r="96" spans="1:23">
      <c r="A96" s="50">
        <v>4</v>
      </c>
      <c r="B96" s="170" t="s">
        <v>53</v>
      </c>
      <c r="C96" s="170"/>
      <c r="D96" s="170"/>
      <c r="E96" s="170"/>
      <c r="F96" s="50" t="s">
        <v>11</v>
      </c>
    </row>
    <row r="97" spans="1:23" ht="30" customHeight="1">
      <c r="A97" s="49" t="s">
        <v>47</v>
      </c>
      <c r="B97" s="177" t="s">
        <v>83</v>
      </c>
      <c r="C97" s="177"/>
      <c r="D97" s="177"/>
      <c r="E97" s="177"/>
      <c r="F97" s="34">
        <f>F83</f>
        <v>115</v>
      </c>
    </row>
    <row r="98" spans="1:23" ht="30" customHeight="1">
      <c r="A98" s="49" t="s">
        <v>51</v>
      </c>
      <c r="B98" s="177" t="s">
        <v>48</v>
      </c>
      <c r="C98" s="177"/>
      <c r="D98" s="177"/>
      <c r="E98" s="177"/>
      <c r="F98" s="34">
        <f>F93</f>
        <v>35.729999999999997</v>
      </c>
    </row>
    <row r="99" spans="1:23">
      <c r="A99" s="170" t="s">
        <v>0</v>
      </c>
      <c r="B99" s="170"/>
      <c r="C99" s="170"/>
      <c r="D99" s="170"/>
      <c r="E99" s="170"/>
      <c r="F99" s="73">
        <f>ROUND(SUM(F97:F98),2)</f>
        <v>150.72999999999999</v>
      </c>
    </row>
    <row r="100" spans="1:23">
      <c r="K100" s="22"/>
    </row>
    <row r="101" spans="1:23">
      <c r="A101" s="192" t="s">
        <v>54</v>
      </c>
      <c r="B101" s="192"/>
      <c r="C101" s="192"/>
      <c r="D101" s="192"/>
      <c r="E101" s="192"/>
      <c r="F101" s="192"/>
    </row>
    <row r="102" spans="1:23">
      <c r="A102" s="50">
        <v>5</v>
      </c>
      <c r="B102" s="170" t="s">
        <v>4</v>
      </c>
      <c r="C102" s="170"/>
      <c r="D102" s="170"/>
      <c r="E102" s="170"/>
      <c r="F102" s="50" t="s">
        <v>11</v>
      </c>
    </row>
    <row r="103" spans="1:23" s="20" customFormat="1" ht="30" customHeight="1">
      <c r="A103" s="74" t="s">
        <v>12</v>
      </c>
      <c r="B103" s="191" t="s">
        <v>55</v>
      </c>
      <c r="C103" s="191"/>
      <c r="D103" s="191"/>
      <c r="E103" s="191"/>
      <c r="F103" s="72">
        <f>UNIFORME!E9</f>
        <v>21.333333333333332</v>
      </c>
      <c r="G103" s="281" t="s">
        <v>340</v>
      </c>
      <c r="H103" s="282" t="s">
        <v>350</v>
      </c>
      <c r="I103" s="283"/>
      <c r="J103" s="283"/>
      <c r="K103" s="283"/>
      <c r="L103" s="284"/>
      <c r="M103" s="18"/>
      <c r="N103" s="18"/>
      <c r="O103" s="18"/>
    </row>
    <row r="104" spans="1:23" s="20" customFormat="1" ht="30" customHeight="1">
      <c r="A104" s="103" t="s">
        <v>14</v>
      </c>
      <c r="B104" s="191" t="s">
        <v>313</v>
      </c>
      <c r="C104" s="191"/>
      <c r="D104" s="191"/>
      <c r="E104" s="191"/>
      <c r="F104" s="72">
        <f>EPI!E10</f>
        <v>17.384999999999998</v>
      </c>
      <c r="G104" s="281"/>
      <c r="H104" s="285"/>
      <c r="I104" s="286"/>
      <c r="J104" s="286"/>
      <c r="K104" s="286"/>
      <c r="L104" s="287"/>
      <c r="M104" s="18"/>
      <c r="N104" s="18"/>
      <c r="O104" s="18"/>
    </row>
    <row r="105" spans="1:23" s="20" customFormat="1" ht="30" customHeight="1">
      <c r="A105" s="74" t="s">
        <v>15</v>
      </c>
      <c r="B105" s="191" t="s">
        <v>56</v>
      </c>
      <c r="C105" s="191"/>
      <c r="D105" s="191"/>
      <c r="E105" s="191"/>
      <c r="F105" s="72">
        <f>MATERIAIS!E45</f>
        <v>653.07619047619062</v>
      </c>
      <c r="G105" s="281"/>
      <c r="H105" s="285"/>
      <c r="I105" s="286"/>
      <c r="J105" s="286"/>
      <c r="K105" s="286"/>
      <c r="L105" s="287"/>
      <c r="M105" s="70"/>
      <c r="N105" s="70"/>
      <c r="O105" s="70"/>
      <c r="P105" s="70"/>
      <c r="Q105" s="70"/>
      <c r="R105" s="70"/>
      <c r="S105" s="70"/>
    </row>
    <row r="106" spans="1:23" s="20" customFormat="1" ht="30" customHeight="1">
      <c r="A106" s="74" t="s">
        <v>16</v>
      </c>
      <c r="B106" s="191" t="s">
        <v>147</v>
      </c>
      <c r="C106" s="191"/>
      <c r="D106" s="191"/>
      <c r="E106" s="191"/>
      <c r="F106" s="72">
        <f>UTENSÍLIOS!E28</f>
        <v>50.680952380952384</v>
      </c>
      <c r="G106" s="281"/>
      <c r="H106" s="285"/>
      <c r="I106" s="286"/>
      <c r="J106" s="286"/>
      <c r="K106" s="286"/>
      <c r="L106" s="287"/>
      <c r="M106" s="70"/>
      <c r="N106" s="70"/>
      <c r="O106" s="70"/>
      <c r="P106" s="70"/>
      <c r="Q106" s="70"/>
      <c r="R106" s="70"/>
      <c r="S106" s="70"/>
    </row>
    <row r="107" spans="1:23" s="20" customFormat="1" ht="30" customHeight="1">
      <c r="A107" s="74" t="s">
        <v>17</v>
      </c>
      <c r="B107" s="191" t="s">
        <v>57</v>
      </c>
      <c r="C107" s="191"/>
      <c r="D107" s="191"/>
      <c r="E107" s="191"/>
      <c r="F107" s="72">
        <f>EQUIPAMENTOS!H11</f>
        <v>33.68571428571429</v>
      </c>
      <c r="G107" s="281"/>
      <c r="H107" s="285"/>
      <c r="I107" s="286"/>
      <c r="J107" s="286"/>
      <c r="K107" s="286"/>
      <c r="L107" s="287"/>
      <c r="M107" s="70"/>
      <c r="N107" s="70"/>
      <c r="O107" s="70"/>
      <c r="P107" s="70"/>
      <c r="Q107" s="70"/>
      <c r="R107" s="70"/>
      <c r="S107" s="70"/>
    </row>
    <row r="108" spans="1:23" s="20" customFormat="1" ht="30" customHeight="1">
      <c r="A108" s="74" t="s">
        <v>18</v>
      </c>
      <c r="B108" s="191" t="s">
        <v>20</v>
      </c>
      <c r="C108" s="191"/>
      <c r="D108" s="191"/>
      <c r="E108" s="191"/>
      <c r="F108" s="72">
        <v>0</v>
      </c>
      <c r="G108" s="281"/>
      <c r="H108" s="288"/>
      <c r="I108" s="289"/>
      <c r="J108" s="289"/>
      <c r="K108" s="289"/>
      <c r="L108" s="290"/>
      <c r="M108" s="70"/>
      <c r="N108" s="70"/>
      <c r="O108" s="70"/>
      <c r="P108" s="70"/>
      <c r="Q108" s="70"/>
      <c r="R108" s="70"/>
      <c r="S108" s="70"/>
    </row>
    <row r="109" spans="1:23" s="20" customFormat="1">
      <c r="A109" s="216" t="s">
        <v>32</v>
      </c>
      <c r="B109" s="216"/>
      <c r="C109" s="216"/>
      <c r="D109" s="216"/>
      <c r="E109" s="216"/>
      <c r="F109" s="80">
        <f>ROUND(SUM(F103:F108),2)</f>
        <v>776.16</v>
      </c>
      <c r="G109" s="18"/>
      <c r="H109" s="18"/>
      <c r="I109" s="18"/>
      <c r="J109" s="18"/>
      <c r="K109" s="18"/>
      <c r="L109" s="18"/>
      <c r="M109" s="70"/>
      <c r="N109" s="70"/>
      <c r="O109" s="70"/>
      <c r="P109" s="70"/>
      <c r="Q109" s="70"/>
      <c r="R109" s="70"/>
      <c r="S109" s="70"/>
    </row>
    <row r="111" spans="1:23">
      <c r="A111" s="192" t="s">
        <v>58</v>
      </c>
      <c r="B111" s="192"/>
      <c r="C111" s="192"/>
      <c r="D111" s="192"/>
      <c r="E111" s="192"/>
      <c r="F111" s="192"/>
      <c r="G111" s="66"/>
      <c r="H111" s="66"/>
      <c r="I111" s="66"/>
      <c r="J111" s="66"/>
      <c r="K111" s="66"/>
    </row>
    <row r="112" spans="1:23" ht="30">
      <c r="A112" s="77">
        <v>6</v>
      </c>
      <c r="B112" s="189" t="s">
        <v>5</v>
      </c>
      <c r="C112" s="189"/>
      <c r="D112" s="189"/>
      <c r="E112" s="77" t="s">
        <v>28</v>
      </c>
      <c r="F112" s="77" t="s">
        <v>11</v>
      </c>
      <c r="G112" s="66"/>
      <c r="H112" s="66"/>
      <c r="I112" s="66"/>
      <c r="J112" s="66"/>
      <c r="K112" s="66"/>
      <c r="N112" s="115" t="s">
        <v>323</v>
      </c>
      <c r="O112" s="115" t="s">
        <v>325</v>
      </c>
      <c r="P112" s="115" t="s">
        <v>326</v>
      </c>
      <c r="Q112" s="115" t="s">
        <v>327</v>
      </c>
      <c r="R112" s="115" t="s">
        <v>328</v>
      </c>
      <c r="S112" s="115" t="s">
        <v>342</v>
      </c>
      <c r="U112" s="115" t="s">
        <v>356</v>
      </c>
      <c r="V112" s="115" t="s">
        <v>354</v>
      </c>
      <c r="W112" s="115" t="s">
        <v>355</v>
      </c>
    </row>
    <row r="113" spans="1:23" ht="30" customHeight="1">
      <c r="A113" s="78" t="s">
        <v>12</v>
      </c>
      <c r="B113" s="190" t="s">
        <v>6</v>
      </c>
      <c r="C113" s="190"/>
      <c r="D113" s="190"/>
      <c r="E113" s="81">
        <v>0.03</v>
      </c>
      <c r="F113" s="72">
        <f>ROUND(F128*E113,2)</f>
        <v>105.09</v>
      </c>
      <c r="G113" s="281" t="s">
        <v>340</v>
      </c>
      <c r="H113" s="278" t="s">
        <v>350</v>
      </c>
      <c r="I113" s="279"/>
      <c r="J113" s="279"/>
      <c r="K113" s="279"/>
      <c r="L113" s="280"/>
      <c r="N113" s="130">
        <v>2.2200000000000001E-2</v>
      </c>
      <c r="O113" s="120">
        <v>1.2999999999999999E-2</v>
      </c>
      <c r="P113" s="130">
        <v>0.04</v>
      </c>
      <c r="Q113" s="120">
        <v>5.9999999999999995E-4</v>
      </c>
      <c r="R113" s="120">
        <v>1.1001E-2</v>
      </c>
      <c r="S113" s="130">
        <v>0.03</v>
      </c>
      <c r="U113" s="116">
        <f>AVERAGE(N113,P113,S113)</f>
        <v>3.0733333333333335E-2</v>
      </c>
      <c r="V113" s="116">
        <f>U113*0.5</f>
        <v>1.5366666666666667E-2</v>
      </c>
      <c r="W113" s="116">
        <f>U113*1.5</f>
        <v>4.6100000000000002E-2</v>
      </c>
    </row>
    <row r="114" spans="1:23" ht="30" customHeight="1">
      <c r="A114" s="78" t="s">
        <v>14</v>
      </c>
      <c r="B114" s="190" t="s">
        <v>8</v>
      </c>
      <c r="C114" s="190"/>
      <c r="D114" s="190"/>
      <c r="E114" s="81">
        <v>0.03</v>
      </c>
      <c r="F114" s="72">
        <f>ROUND((SUM($F$113,$F$128)/(1-$E$115-$E$114))*E114,2)</f>
        <v>115.12</v>
      </c>
      <c r="G114" s="281"/>
      <c r="H114" s="278"/>
      <c r="I114" s="279"/>
      <c r="J114" s="279"/>
      <c r="K114" s="279"/>
      <c r="L114" s="280"/>
      <c r="N114" s="120">
        <v>2.2200000000000001E-2</v>
      </c>
      <c r="O114" s="120">
        <v>1.2999999999999999E-2</v>
      </c>
      <c r="P114" s="130">
        <v>6.7900000000000002E-2</v>
      </c>
      <c r="Q114" s="120">
        <v>5.9999999999999995E-4</v>
      </c>
      <c r="R114" s="120">
        <v>1.0907E-2</v>
      </c>
      <c r="S114" s="130">
        <v>7.0000000000000007E-2</v>
      </c>
      <c r="U114" s="116">
        <f>AVERAGE(N114,P114,S114)</f>
        <v>5.3366666666666673E-2</v>
      </c>
      <c r="V114" s="116">
        <f t="shared" ref="V114" si="4">U114*0.5</f>
        <v>2.6683333333333337E-2</v>
      </c>
      <c r="W114" s="116">
        <f t="shared" ref="W114" si="5">U114*1.5</f>
        <v>8.005000000000001E-2</v>
      </c>
    </row>
    <row r="115" spans="1:23" ht="30" customHeight="1">
      <c r="A115" s="78" t="s">
        <v>15</v>
      </c>
      <c r="B115" s="190" t="s">
        <v>7</v>
      </c>
      <c r="C115" s="190"/>
      <c r="D115" s="190"/>
      <c r="E115" s="122">
        <f>ROUND(SUM(E116:E118),4)</f>
        <v>2.9700000000000001E-2</v>
      </c>
      <c r="F115" s="90"/>
      <c r="G115" s="277" t="s">
        <v>340</v>
      </c>
      <c r="H115" s="272" t="s">
        <v>351</v>
      </c>
      <c r="I115" s="273"/>
      <c r="J115" s="273"/>
      <c r="K115" s="273"/>
      <c r="L115" s="274"/>
    </row>
    <row r="116" spans="1:23" ht="30" customHeight="1">
      <c r="A116" s="78" t="s">
        <v>89</v>
      </c>
      <c r="B116" s="190" t="s">
        <v>85</v>
      </c>
      <c r="C116" s="190"/>
      <c r="D116" s="190"/>
      <c r="E116" s="81">
        <v>1.6999999999999999E-3</v>
      </c>
      <c r="F116" s="72">
        <f>ROUND((SUM($F$113,$F$128)/(1-$E$115-$E$114))*E116,2)</f>
        <v>6.52</v>
      </c>
      <c r="G116" s="277"/>
      <c r="H116" s="272"/>
      <c r="I116" s="273"/>
      <c r="J116" s="273"/>
      <c r="K116" s="273"/>
      <c r="L116" s="274"/>
    </row>
    <row r="117" spans="1:23" ht="30" customHeight="1">
      <c r="A117" s="78" t="s">
        <v>90</v>
      </c>
      <c r="B117" s="190" t="s">
        <v>86</v>
      </c>
      <c r="C117" s="190"/>
      <c r="D117" s="190"/>
      <c r="E117" s="81">
        <v>8.0000000000000002E-3</v>
      </c>
      <c r="F117" s="72">
        <f>ROUND((SUM($F$113,$F$128)/(1-$E$115-$E$114))*E117,2)</f>
        <v>30.7</v>
      </c>
      <c r="G117" s="277"/>
      <c r="H117" s="272"/>
      <c r="I117" s="273"/>
      <c r="J117" s="273"/>
      <c r="K117" s="273"/>
      <c r="L117" s="274"/>
    </row>
    <row r="118" spans="1:23" ht="30" customHeight="1">
      <c r="A118" s="78" t="s">
        <v>91</v>
      </c>
      <c r="B118" s="190" t="s">
        <v>87</v>
      </c>
      <c r="C118" s="190"/>
      <c r="D118" s="190"/>
      <c r="E118" s="81">
        <v>0.02</v>
      </c>
      <c r="F118" s="72">
        <f>ROUND((SUM($F$113,$F$128)/(1-$E$115-$E$114))*E118,2)</f>
        <v>76.739999999999995</v>
      </c>
      <c r="G118" s="277"/>
      <c r="H118" s="272"/>
      <c r="I118" s="273"/>
      <c r="J118" s="273"/>
      <c r="K118" s="273"/>
      <c r="L118" s="274"/>
    </row>
    <row r="119" spans="1:23">
      <c r="A119" s="189" t="s">
        <v>32</v>
      </c>
      <c r="B119" s="189"/>
      <c r="C119" s="189"/>
      <c r="D119" s="189"/>
      <c r="E119" s="121">
        <f>ROUND(SUM(E113:E115),4)</f>
        <v>8.9700000000000002E-2</v>
      </c>
      <c r="F119" s="79">
        <f>ROUND(SUM(F113:F118),2)</f>
        <v>334.17</v>
      </c>
      <c r="G119" s="277"/>
      <c r="H119" s="19"/>
    </row>
    <row r="120" spans="1:23">
      <c r="A120" s="66"/>
      <c r="B120" s="66"/>
      <c r="C120" s="66"/>
      <c r="D120" s="66"/>
      <c r="E120" s="66"/>
      <c r="F120" s="66"/>
      <c r="G120" s="66"/>
    </row>
    <row r="121" spans="1:23">
      <c r="A121" s="215" t="s">
        <v>59</v>
      </c>
      <c r="B121" s="215"/>
      <c r="C121" s="215"/>
      <c r="D121" s="215"/>
      <c r="E121" s="215"/>
      <c r="F121" s="215"/>
    </row>
    <row r="122" spans="1:23">
      <c r="A122" s="50"/>
      <c r="B122" s="170" t="s">
        <v>60</v>
      </c>
      <c r="C122" s="170"/>
      <c r="D122" s="170"/>
      <c r="E122" s="170"/>
      <c r="F122" s="50" t="s">
        <v>11</v>
      </c>
      <c r="K122" s="22"/>
    </row>
    <row r="123" spans="1:23">
      <c r="A123" s="50" t="s">
        <v>12</v>
      </c>
      <c r="B123" s="177" t="s">
        <v>9</v>
      </c>
      <c r="C123" s="177"/>
      <c r="D123" s="177"/>
      <c r="E123" s="177"/>
      <c r="F123" s="82">
        <f>F30</f>
        <v>1380</v>
      </c>
    </row>
    <row r="124" spans="1:23">
      <c r="A124" s="50" t="s">
        <v>14</v>
      </c>
      <c r="B124" s="177" t="s">
        <v>21</v>
      </c>
      <c r="C124" s="177"/>
      <c r="D124" s="177"/>
      <c r="E124" s="177"/>
      <c r="F124" s="82">
        <f>F66</f>
        <v>1092.8399999999999</v>
      </c>
    </row>
    <row r="125" spans="1:23">
      <c r="A125" s="50" t="s">
        <v>15</v>
      </c>
      <c r="B125" s="177" t="s">
        <v>40</v>
      </c>
      <c r="C125" s="177"/>
      <c r="D125" s="177"/>
      <c r="E125" s="177"/>
      <c r="F125" s="82">
        <f>F77</f>
        <v>103.31</v>
      </c>
    </row>
    <row r="126" spans="1:23">
      <c r="A126" s="50" t="s">
        <v>16</v>
      </c>
      <c r="B126" s="177" t="s">
        <v>46</v>
      </c>
      <c r="C126" s="177"/>
      <c r="D126" s="177"/>
      <c r="E126" s="177"/>
      <c r="F126" s="82">
        <f>F99</f>
        <v>150.72999999999999</v>
      </c>
    </row>
    <row r="127" spans="1:23">
      <c r="A127" s="50" t="s">
        <v>17</v>
      </c>
      <c r="B127" s="177" t="s">
        <v>54</v>
      </c>
      <c r="C127" s="177"/>
      <c r="D127" s="177"/>
      <c r="E127" s="177"/>
      <c r="F127" s="83">
        <f>F109</f>
        <v>776.16</v>
      </c>
    </row>
    <row r="128" spans="1:23" ht="16.5" customHeight="1">
      <c r="A128" s="170" t="s">
        <v>352</v>
      </c>
      <c r="B128" s="170"/>
      <c r="C128" s="170"/>
      <c r="D128" s="170"/>
      <c r="E128" s="170"/>
      <c r="F128" s="82">
        <f>ROUND(SUM(F123:F127),2)</f>
        <v>3503.04</v>
      </c>
    </row>
    <row r="129" spans="1:7" ht="16.5" customHeight="1">
      <c r="A129" s="50" t="s">
        <v>18</v>
      </c>
      <c r="B129" s="177" t="s">
        <v>61</v>
      </c>
      <c r="C129" s="177"/>
      <c r="D129" s="177"/>
      <c r="E129" s="177"/>
      <c r="F129" s="82">
        <f>F119</f>
        <v>334.17</v>
      </c>
    </row>
    <row r="130" spans="1:7" ht="16.5" customHeight="1">
      <c r="A130" s="170" t="s">
        <v>62</v>
      </c>
      <c r="B130" s="170"/>
      <c r="C130" s="170"/>
      <c r="D130" s="170"/>
      <c r="E130" s="170"/>
      <c r="F130" s="82">
        <f>F128+F129</f>
        <v>3837.21</v>
      </c>
    </row>
    <row r="131" spans="1:7" ht="16.5" customHeight="1">
      <c r="A131" s="67"/>
      <c r="B131" s="67"/>
      <c r="C131" s="67"/>
      <c r="D131" s="67"/>
      <c r="E131" s="67"/>
      <c r="F131" s="71"/>
    </row>
    <row r="132" spans="1:7">
      <c r="A132" s="215" t="s">
        <v>189</v>
      </c>
      <c r="B132" s="215"/>
      <c r="C132" s="215"/>
      <c r="D132" s="215"/>
      <c r="E132" s="215"/>
      <c r="F132" s="215"/>
      <c r="G132" s="91"/>
    </row>
    <row r="133" spans="1:7" s="20" customFormat="1">
      <c r="A133" s="187" t="s">
        <v>190</v>
      </c>
      <c r="B133" s="187"/>
      <c r="C133" s="187"/>
      <c r="D133" s="187"/>
      <c r="E133" s="187"/>
      <c r="F133" s="187"/>
      <c r="G133" s="187"/>
    </row>
    <row r="134" spans="1:7">
      <c r="A134" s="180" t="s">
        <v>191</v>
      </c>
      <c r="B134" s="188" t="s">
        <v>192</v>
      </c>
      <c r="C134" s="188"/>
      <c r="D134" s="188" t="s">
        <v>193</v>
      </c>
      <c r="E134" s="188"/>
      <c r="F134" s="188" t="s">
        <v>194</v>
      </c>
      <c r="G134" s="188"/>
    </row>
    <row r="135" spans="1:7">
      <c r="A135" s="180"/>
      <c r="B135" s="180" t="s">
        <v>219</v>
      </c>
      <c r="C135" s="180"/>
      <c r="D135" s="180" t="s">
        <v>195</v>
      </c>
      <c r="E135" s="180"/>
      <c r="F135" s="180" t="s">
        <v>288</v>
      </c>
      <c r="G135" s="180"/>
    </row>
    <row r="136" spans="1:7">
      <c r="A136" s="92" t="s">
        <v>196</v>
      </c>
      <c r="B136" s="183" t="s">
        <v>197</v>
      </c>
      <c r="C136" s="183"/>
      <c r="D136" s="184">
        <f>F130</f>
        <v>3837.21</v>
      </c>
      <c r="E136" s="185"/>
      <c r="F136" s="186">
        <f>ROUND((1/800)*D136,2)</f>
        <v>4.8</v>
      </c>
      <c r="G136" s="186"/>
    </row>
    <row r="137" spans="1:7" ht="17.25">
      <c r="A137" s="42"/>
      <c r="B137" s="43"/>
      <c r="C137" s="43"/>
      <c r="D137" s="43"/>
      <c r="E137" s="44"/>
      <c r="F137" s="44"/>
    </row>
    <row r="138" spans="1:7">
      <c r="A138" s="187" t="s">
        <v>198</v>
      </c>
      <c r="B138" s="187"/>
      <c r="C138" s="187"/>
      <c r="D138" s="187"/>
      <c r="E138" s="187"/>
      <c r="F138" s="187"/>
      <c r="G138" s="187"/>
    </row>
    <row r="139" spans="1:7">
      <c r="A139" s="180" t="s">
        <v>191</v>
      </c>
      <c r="B139" s="188" t="s">
        <v>192</v>
      </c>
      <c r="C139" s="188"/>
      <c r="D139" s="188" t="s">
        <v>193</v>
      </c>
      <c r="E139" s="188"/>
      <c r="F139" s="188" t="s">
        <v>194</v>
      </c>
      <c r="G139" s="188"/>
    </row>
    <row r="140" spans="1:7">
      <c r="A140" s="180"/>
      <c r="B140" s="180" t="s">
        <v>219</v>
      </c>
      <c r="C140" s="180"/>
      <c r="D140" s="180" t="s">
        <v>195</v>
      </c>
      <c r="E140" s="180"/>
      <c r="F140" s="180" t="s">
        <v>289</v>
      </c>
      <c r="G140" s="180"/>
    </row>
    <row r="141" spans="1:7">
      <c r="A141" s="92" t="s">
        <v>196</v>
      </c>
      <c r="B141" s="183" t="s">
        <v>199</v>
      </c>
      <c r="C141" s="183"/>
      <c r="D141" s="184">
        <f>F130</f>
        <v>3837.21</v>
      </c>
      <c r="E141" s="185"/>
      <c r="F141" s="186">
        <f>ROUND((1/1800)*D141,2)</f>
        <v>2.13</v>
      </c>
      <c r="G141" s="186"/>
    </row>
    <row r="142" spans="1:7" ht="17.25">
      <c r="A142" s="42"/>
      <c r="B142" s="43"/>
      <c r="C142" s="43"/>
      <c r="D142" s="43"/>
      <c r="E142" s="44"/>
      <c r="F142" s="44"/>
    </row>
    <row r="143" spans="1:7">
      <c r="A143" s="291" t="s">
        <v>200</v>
      </c>
      <c r="B143" s="291"/>
      <c r="C143" s="291"/>
      <c r="D143" s="291"/>
      <c r="E143" s="291"/>
      <c r="F143" s="291"/>
      <c r="G143" s="291"/>
    </row>
    <row r="144" spans="1:7">
      <c r="A144" s="180" t="s">
        <v>191</v>
      </c>
      <c r="B144" s="93" t="s">
        <v>192</v>
      </c>
      <c r="C144" s="93" t="s">
        <v>193</v>
      </c>
      <c r="D144" s="93" t="s">
        <v>194</v>
      </c>
      <c r="E144" s="93" t="s">
        <v>201</v>
      </c>
      <c r="F144" s="93" t="s">
        <v>202</v>
      </c>
      <c r="G144" s="93" t="s">
        <v>203</v>
      </c>
    </row>
    <row r="145" spans="1:10" ht="45">
      <c r="A145" s="180"/>
      <c r="B145" s="94" t="s">
        <v>220</v>
      </c>
      <c r="C145" s="94" t="s">
        <v>204</v>
      </c>
      <c r="D145" s="94" t="s">
        <v>303</v>
      </c>
      <c r="E145" s="94" t="s">
        <v>205</v>
      </c>
      <c r="F145" s="94" t="s">
        <v>206</v>
      </c>
      <c r="G145" s="94" t="s">
        <v>207</v>
      </c>
    </row>
    <row r="146" spans="1:10">
      <c r="A146" s="92" t="s">
        <v>196</v>
      </c>
      <c r="B146" s="95" t="s">
        <v>208</v>
      </c>
      <c r="C146" s="96" t="s">
        <v>209</v>
      </c>
      <c r="D146" s="95" t="s">
        <v>210</v>
      </c>
      <c r="E146" s="97">
        <f>ROUND((1/300)*16*(1/188.76),6)</f>
        <v>2.8299999999999999E-4</v>
      </c>
      <c r="F146" s="48">
        <f>F130</f>
        <v>3837.21</v>
      </c>
      <c r="G146" s="98">
        <f>ROUND(E146*F146,2)</f>
        <v>1.0900000000000001</v>
      </c>
    </row>
    <row r="147" spans="1:10">
      <c r="A147" s="46"/>
      <c r="B147" s="47"/>
      <c r="C147" s="47"/>
      <c r="D147" s="47"/>
      <c r="E147" s="44"/>
      <c r="F147" s="44"/>
    </row>
    <row r="148" spans="1:10">
      <c r="A148" s="292" t="s">
        <v>211</v>
      </c>
      <c r="B148" s="292"/>
      <c r="C148" s="292"/>
      <c r="D148" s="292"/>
      <c r="E148" s="292"/>
      <c r="F148" s="292"/>
      <c r="G148" s="292"/>
      <c r="I148" s="170" t="s">
        <v>353</v>
      </c>
      <c r="J148" s="171"/>
    </row>
    <row r="149" spans="1:10" ht="15.75" customHeight="1">
      <c r="A149" s="180" t="s">
        <v>99</v>
      </c>
      <c r="B149" s="180"/>
      <c r="C149" s="181" t="s">
        <v>192</v>
      </c>
      <c r="D149" s="181"/>
      <c r="E149" s="99" t="s">
        <v>193</v>
      </c>
      <c r="F149" s="181" t="s">
        <v>194</v>
      </c>
      <c r="G149" s="181"/>
      <c r="I149" s="171"/>
      <c r="J149" s="171"/>
    </row>
    <row r="150" spans="1:10" ht="28.5" customHeight="1">
      <c r="A150" s="180"/>
      <c r="B150" s="180"/>
      <c r="C150" s="182" t="s">
        <v>212</v>
      </c>
      <c r="D150" s="182"/>
      <c r="E150" s="45" t="s">
        <v>213</v>
      </c>
      <c r="F150" s="182" t="s">
        <v>214</v>
      </c>
      <c r="G150" s="182"/>
      <c r="I150" s="171"/>
      <c r="J150" s="171"/>
    </row>
    <row r="151" spans="1:10">
      <c r="A151" s="173" t="s">
        <v>215</v>
      </c>
      <c r="B151" s="173"/>
      <c r="C151" s="174">
        <f>F136</f>
        <v>4.8</v>
      </c>
      <c r="D151" s="174"/>
      <c r="E151" s="48">
        <f>CONSOLIDAÇÃO!E20</f>
        <v>1148.45</v>
      </c>
      <c r="F151" s="175">
        <f>ROUND(C151*E151,2)</f>
        <v>5512.56</v>
      </c>
      <c r="G151" s="176"/>
      <c r="I151" s="172">
        <f>E151/800</f>
        <v>1.4355625000000001</v>
      </c>
      <c r="J151" s="172"/>
    </row>
    <row r="152" spans="1:10">
      <c r="A152" s="173" t="s">
        <v>216</v>
      </c>
      <c r="B152" s="173"/>
      <c r="C152" s="174">
        <f>F141</f>
        <v>2.13</v>
      </c>
      <c r="D152" s="174"/>
      <c r="E152" s="48">
        <f>CONSOLIDAÇÃO!E21</f>
        <v>1063.05</v>
      </c>
      <c r="F152" s="175">
        <f>ROUND(C152*E152,2)</f>
        <v>2264.3000000000002</v>
      </c>
      <c r="G152" s="176"/>
      <c r="I152" s="172">
        <f>E152/1800</f>
        <v>0.59058333333333335</v>
      </c>
      <c r="J152" s="172"/>
    </row>
    <row r="153" spans="1:10">
      <c r="A153" s="173" t="s">
        <v>223</v>
      </c>
      <c r="B153" s="173"/>
      <c r="C153" s="174">
        <f>G146</f>
        <v>1.0900000000000001</v>
      </c>
      <c r="D153" s="174"/>
      <c r="E153" s="48">
        <f>CONSOLIDAÇÃO!E22</f>
        <v>250</v>
      </c>
      <c r="F153" s="175">
        <f>ROUND(C153*E153,2)</f>
        <v>272.5</v>
      </c>
      <c r="G153" s="176"/>
      <c r="I153" s="172">
        <f>E153/300*16/188.76</f>
        <v>7.0636434272797921E-2</v>
      </c>
      <c r="J153" s="172"/>
    </row>
    <row r="154" spans="1:10">
      <c r="A154" s="178" t="s">
        <v>217</v>
      </c>
      <c r="B154" s="178"/>
      <c r="C154" s="178"/>
      <c r="D154" s="178"/>
      <c r="E154" s="178"/>
      <c r="F154" s="275">
        <f>SUM(F151:G153)</f>
        <v>8049.3600000000006</v>
      </c>
      <c r="G154" s="276"/>
      <c r="I154" s="100" t="s">
        <v>221</v>
      </c>
      <c r="J154" s="123">
        <f>ROUND(SUM(I151:J153),2)</f>
        <v>2.1</v>
      </c>
    </row>
    <row r="155" spans="1:10">
      <c r="A155" s="178" t="s">
        <v>218</v>
      </c>
      <c r="B155" s="178"/>
      <c r="C155" s="178"/>
      <c r="D155" s="178"/>
      <c r="E155" s="178"/>
      <c r="F155" s="179">
        <f>F154*24</f>
        <v>193184.64000000001</v>
      </c>
      <c r="G155" s="179"/>
    </row>
  </sheetData>
  <mergeCells count="210">
    <mergeCell ref="H70:L70"/>
    <mergeCell ref="H71:L71"/>
    <mergeCell ref="H72:L72"/>
    <mergeCell ref="H73:L73"/>
    <mergeCell ref="H74:L74"/>
    <mergeCell ref="H75:L75"/>
    <mergeCell ref="H57:L57"/>
    <mergeCell ref="H43:L43"/>
    <mergeCell ref="H44:L44"/>
    <mergeCell ref="H45:L45"/>
    <mergeCell ref="H46:L46"/>
    <mergeCell ref="H47:L47"/>
    <mergeCell ref="H48:L48"/>
    <mergeCell ref="H49:L49"/>
    <mergeCell ref="H76:L76"/>
    <mergeCell ref="H55:L55"/>
    <mergeCell ref="H56:L56"/>
    <mergeCell ref="H115:L118"/>
    <mergeCell ref="F154:G154"/>
    <mergeCell ref="G115:G119"/>
    <mergeCell ref="H113:L114"/>
    <mergeCell ref="G113:G114"/>
    <mergeCell ref="H83:L83"/>
    <mergeCell ref="G87:G92"/>
    <mergeCell ref="G103:G108"/>
    <mergeCell ref="H103:L108"/>
    <mergeCell ref="H87:L91"/>
    <mergeCell ref="A133:G133"/>
    <mergeCell ref="A130:E130"/>
    <mergeCell ref="B125:E125"/>
    <mergeCell ref="B126:E126"/>
    <mergeCell ref="A143:G143"/>
    <mergeCell ref="A148:G148"/>
    <mergeCell ref="B139:C139"/>
    <mergeCell ref="D139:E139"/>
    <mergeCell ref="F139:G139"/>
    <mergeCell ref="B140:C140"/>
    <mergeCell ref="D140:E140"/>
    <mergeCell ref="A132:F132"/>
    <mergeCell ref="C2:F4"/>
    <mergeCell ref="B114:D114"/>
    <mergeCell ref="A95:F95"/>
    <mergeCell ref="B96:E96"/>
    <mergeCell ref="B97:E97"/>
    <mergeCell ref="A15:F15"/>
    <mergeCell ref="A17:F17"/>
    <mergeCell ref="B18:D18"/>
    <mergeCell ref="E18:F18"/>
    <mergeCell ref="B19:D19"/>
    <mergeCell ref="E19:F19"/>
    <mergeCell ref="A40:F40"/>
    <mergeCell ref="B29:E29"/>
    <mergeCell ref="A30:E30"/>
    <mergeCell ref="A53:F53"/>
    <mergeCell ref="A61:F61"/>
    <mergeCell ref="A59:E59"/>
    <mergeCell ref="B70:E70"/>
    <mergeCell ref="B71:E71"/>
    <mergeCell ref="A121:F121"/>
    <mergeCell ref="A68:F68"/>
    <mergeCell ref="B69:E69"/>
    <mergeCell ref="A79:F79"/>
    <mergeCell ref="H36:L36"/>
    <mergeCell ref="H37:L37"/>
    <mergeCell ref="H28:L28"/>
    <mergeCell ref="K1:N4"/>
    <mergeCell ref="A51:F51"/>
    <mergeCell ref="M55:Q56"/>
    <mergeCell ref="H58:L58"/>
    <mergeCell ref="H42:L42"/>
    <mergeCell ref="H1:J1"/>
    <mergeCell ref="I2:J4"/>
    <mergeCell ref="H2:H4"/>
    <mergeCell ref="B46:D46"/>
    <mergeCell ref="B47:D47"/>
    <mergeCell ref="B56:E56"/>
    <mergeCell ref="B57:E57"/>
    <mergeCell ref="B58:E58"/>
    <mergeCell ref="B48:D48"/>
    <mergeCell ref="B49:D49"/>
    <mergeCell ref="B54:E54"/>
    <mergeCell ref="B55:E55"/>
    <mergeCell ref="A50:D50"/>
    <mergeCell ref="A26:F26"/>
    <mergeCell ref="B27:E27"/>
    <mergeCell ref="B37:E37"/>
    <mergeCell ref="B64:E64"/>
    <mergeCell ref="B65:E65"/>
    <mergeCell ref="B108:E108"/>
    <mergeCell ref="A109:E109"/>
    <mergeCell ref="A111:F111"/>
    <mergeCell ref="B116:D116"/>
    <mergeCell ref="B117:D117"/>
    <mergeCell ref="A85:F85"/>
    <mergeCell ref="B76:E76"/>
    <mergeCell ref="A77:E77"/>
    <mergeCell ref="B72:E72"/>
    <mergeCell ref="B75:E75"/>
    <mergeCell ref="A66:E66"/>
    <mergeCell ref="B73:E73"/>
    <mergeCell ref="B74:E74"/>
    <mergeCell ref="A81:F81"/>
    <mergeCell ref="B82:E82"/>
    <mergeCell ref="B83:E83"/>
    <mergeCell ref="B91:E91"/>
    <mergeCell ref="B92:E92"/>
    <mergeCell ref="A93:E93"/>
    <mergeCell ref="B106:E106"/>
    <mergeCell ref="B35:E35"/>
    <mergeCell ref="B36:E36"/>
    <mergeCell ref="B41:D41"/>
    <mergeCell ref="B44:D44"/>
    <mergeCell ref="B42:D42"/>
    <mergeCell ref="B43:D43"/>
    <mergeCell ref="A38:E38"/>
    <mergeCell ref="B62:E62"/>
    <mergeCell ref="B63:E63"/>
    <mergeCell ref="A1:F1"/>
    <mergeCell ref="A2:B2"/>
    <mergeCell ref="A3:B3"/>
    <mergeCell ref="A4:B4"/>
    <mergeCell ref="A6:F6"/>
    <mergeCell ref="B7:D7"/>
    <mergeCell ref="E7:F7"/>
    <mergeCell ref="B9:D9"/>
    <mergeCell ref="E9:F9"/>
    <mergeCell ref="B8:D8"/>
    <mergeCell ref="E8:F8"/>
    <mergeCell ref="A119:D119"/>
    <mergeCell ref="B112:D112"/>
    <mergeCell ref="B113:D113"/>
    <mergeCell ref="B122:E122"/>
    <mergeCell ref="B10:D10"/>
    <mergeCell ref="E10:F10"/>
    <mergeCell ref="A12:B12"/>
    <mergeCell ref="A13:B13"/>
    <mergeCell ref="E12:F12"/>
    <mergeCell ref="E13:F13"/>
    <mergeCell ref="B20:D20"/>
    <mergeCell ref="E20:F20"/>
    <mergeCell ref="A24:C24"/>
    <mergeCell ref="D24:F24"/>
    <mergeCell ref="E22:F22"/>
    <mergeCell ref="C12:D12"/>
    <mergeCell ref="C13:D13"/>
    <mergeCell ref="B21:D21"/>
    <mergeCell ref="E21:F21"/>
    <mergeCell ref="B22:D22"/>
    <mergeCell ref="B45:D45"/>
    <mergeCell ref="B28:E28"/>
    <mergeCell ref="A32:F32"/>
    <mergeCell ref="A34:F34"/>
    <mergeCell ref="D135:E135"/>
    <mergeCell ref="F135:G135"/>
    <mergeCell ref="B136:C136"/>
    <mergeCell ref="D136:E136"/>
    <mergeCell ref="F136:G136"/>
    <mergeCell ref="B127:E127"/>
    <mergeCell ref="A128:E128"/>
    <mergeCell ref="B86:E86"/>
    <mergeCell ref="B87:E87"/>
    <mergeCell ref="B88:E88"/>
    <mergeCell ref="B89:E89"/>
    <mergeCell ref="B90:E90"/>
    <mergeCell ref="B124:E124"/>
    <mergeCell ref="B118:D118"/>
    <mergeCell ref="B123:E123"/>
    <mergeCell ref="B115:D115"/>
    <mergeCell ref="B102:E102"/>
    <mergeCell ref="B103:E103"/>
    <mergeCell ref="B105:E105"/>
    <mergeCell ref="B107:E107"/>
    <mergeCell ref="A101:F101"/>
    <mergeCell ref="B98:E98"/>
    <mergeCell ref="A99:E99"/>
    <mergeCell ref="B104:E104"/>
    <mergeCell ref="B129:E129"/>
    <mergeCell ref="A154:E154"/>
    <mergeCell ref="A155:E155"/>
    <mergeCell ref="F155:G155"/>
    <mergeCell ref="A144:A145"/>
    <mergeCell ref="A149:B150"/>
    <mergeCell ref="C149:D149"/>
    <mergeCell ref="F149:G149"/>
    <mergeCell ref="C150:D150"/>
    <mergeCell ref="F150:G150"/>
    <mergeCell ref="A151:B151"/>
    <mergeCell ref="C151:D151"/>
    <mergeCell ref="F151:G151"/>
    <mergeCell ref="F140:G140"/>
    <mergeCell ref="B141:C141"/>
    <mergeCell ref="D141:E141"/>
    <mergeCell ref="F141:G141"/>
    <mergeCell ref="A139:A140"/>
    <mergeCell ref="A138:G138"/>
    <mergeCell ref="A134:A135"/>
    <mergeCell ref="B134:C134"/>
    <mergeCell ref="D134:E134"/>
    <mergeCell ref="F134:G134"/>
    <mergeCell ref="B135:C135"/>
    <mergeCell ref="I148:J150"/>
    <mergeCell ref="I151:J151"/>
    <mergeCell ref="I152:J152"/>
    <mergeCell ref="I153:J153"/>
    <mergeCell ref="A152:B152"/>
    <mergeCell ref="C152:D152"/>
    <mergeCell ref="F152:G152"/>
    <mergeCell ref="A153:B153"/>
    <mergeCell ref="C153:D153"/>
    <mergeCell ref="F153:G15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fitToHeight="0" orientation="portrait" r:id="rId1"/>
  <ignoredErrors>
    <ignoredError sqref="F93" evalError="1"/>
    <ignoredError sqref="F87 U9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>
    <pageSetUpPr fitToPage="1"/>
  </sheetPr>
  <dimension ref="A1:W102"/>
  <sheetViews>
    <sheetView showGridLines="0" zoomScale="80" zoomScaleNormal="80" workbookViewId="0">
      <selection activeCell="A8" sqref="A8:D8"/>
    </sheetView>
  </sheetViews>
  <sheetFormatPr defaultColWidth="9.140625" defaultRowHeight="15.75"/>
  <cols>
    <col min="1" max="1" width="82.42578125" style="7" customWidth="1"/>
    <col min="2" max="2" width="8.7109375" style="7" customWidth="1"/>
    <col min="3" max="3" width="15" style="7" customWidth="1"/>
    <col min="4" max="5" width="15.85546875" style="7" customWidth="1"/>
    <col min="6" max="6" width="5.7109375" style="7" customWidth="1"/>
    <col min="7" max="9" width="15.7109375" style="7" customWidth="1"/>
    <col min="10" max="10" width="18.140625" style="7" customWidth="1"/>
    <col min="11" max="13" width="15.7109375" style="7" customWidth="1"/>
    <col min="14" max="14" width="5.7109375" style="7" customWidth="1"/>
    <col min="15" max="17" width="15.7109375" style="7" customWidth="1"/>
    <col min="18" max="18" width="5.7109375" style="7" customWidth="1"/>
    <col min="19" max="23" width="15.7109375" style="7" customWidth="1"/>
    <col min="24" max="16384" width="9.140625" style="7"/>
  </cols>
  <sheetData>
    <row r="1" spans="1:23" ht="19.5">
      <c r="A1" s="293" t="s">
        <v>115</v>
      </c>
      <c r="B1" s="293"/>
      <c r="C1" s="293"/>
      <c r="D1" s="293"/>
      <c r="E1" s="293"/>
    </row>
    <row r="2" spans="1:23" ht="45">
      <c r="A2" s="84" t="s">
        <v>382</v>
      </c>
      <c r="B2" s="84" t="s">
        <v>301</v>
      </c>
      <c r="C2" s="84" t="s">
        <v>116</v>
      </c>
      <c r="D2" s="85" t="s">
        <v>120</v>
      </c>
      <c r="E2" s="85" t="s">
        <v>121</v>
      </c>
      <c r="G2" s="115" t="s">
        <v>323</v>
      </c>
      <c r="H2" s="115" t="s">
        <v>326</v>
      </c>
      <c r="I2" s="115" t="s">
        <v>327</v>
      </c>
      <c r="J2" s="115" t="s">
        <v>328</v>
      </c>
      <c r="K2" s="115" t="s">
        <v>357</v>
      </c>
      <c r="L2" s="115" t="s">
        <v>368</v>
      </c>
      <c r="M2" s="115" t="s">
        <v>384</v>
      </c>
      <c r="O2" s="115" t="s">
        <v>356</v>
      </c>
      <c r="P2" s="115" t="s">
        <v>354</v>
      </c>
      <c r="Q2" s="115" t="s">
        <v>355</v>
      </c>
      <c r="S2" s="115" t="s">
        <v>358</v>
      </c>
      <c r="T2" s="115" t="s">
        <v>362</v>
      </c>
      <c r="U2" s="115" t="s">
        <v>359</v>
      </c>
      <c r="V2" s="115" t="s">
        <v>360</v>
      </c>
      <c r="W2" s="115" t="s">
        <v>361</v>
      </c>
    </row>
    <row r="3" spans="1:23" ht="24" customHeight="1">
      <c r="A3" s="4" t="s">
        <v>302</v>
      </c>
      <c r="B3" s="74">
        <v>2</v>
      </c>
      <c r="C3" s="74" t="s">
        <v>112</v>
      </c>
      <c r="D3" s="86">
        <v>40</v>
      </c>
      <c r="E3" s="87">
        <f>D3*B3</f>
        <v>80</v>
      </c>
      <c r="G3" s="128">
        <v>29.9</v>
      </c>
      <c r="H3" s="124">
        <v>55.15</v>
      </c>
      <c r="I3" s="124"/>
      <c r="J3" s="124"/>
      <c r="K3" s="124">
        <v>70</v>
      </c>
      <c r="L3" s="124">
        <v>51.8</v>
      </c>
      <c r="M3" s="128">
        <v>63.93</v>
      </c>
      <c r="O3" s="126">
        <f>AVERAGE(G3:M3)</f>
        <v>54.156000000000006</v>
      </c>
      <c r="P3" s="126">
        <f>O3*0.5</f>
        <v>27.078000000000003</v>
      </c>
      <c r="Q3" s="126">
        <f>O3*1.5</f>
        <v>81.234000000000009</v>
      </c>
      <c r="S3" s="127">
        <f>COUNTA(G3:J3)</f>
        <v>2</v>
      </c>
      <c r="T3" s="127">
        <f>COUNTA(K3)</f>
        <v>1</v>
      </c>
      <c r="U3" s="127">
        <v>17</v>
      </c>
      <c r="V3" s="127">
        <v>3</v>
      </c>
      <c r="W3" s="127">
        <f>SUM(S3:V3)</f>
        <v>23</v>
      </c>
    </row>
    <row r="4" spans="1:23" ht="24" customHeight="1">
      <c r="A4" s="4" t="s">
        <v>153</v>
      </c>
      <c r="B4" s="74">
        <v>2</v>
      </c>
      <c r="C4" s="74" t="s">
        <v>117</v>
      </c>
      <c r="D4" s="86">
        <v>30</v>
      </c>
      <c r="E4" s="87">
        <f>D4*B4</f>
        <v>60</v>
      </c>
      <c r="G4" s="124">
        <v>59.9</v>
      </c>
      <c r="H4" s="128">
        <v>28.23</v>
      </c>
      <c r="I4" s="125">
        <v>82.26</v>
      </c>
      <c r="J4" s="125">
        <v>18.149999999999999</v>
      </c>
      <c r="K4" s="124">
        <v>60</v>
      </c>
      <c r="L4" s="124">
        <v>51.4</v>
      </c>
      <c r="M4" s="128">
        <v>55.6</v>
      </c>
      <c r="O4" s="126">
        <f>AVERAGE(G4:H4,K4:M4)</f>
        <v>51.025999999999996</v>
      </c>
      <c r="P4" s="126">
        <f t="shared" ref="P4:P7" si="0">O4*0.5</f>
        <v>25.512999999999998</v>
      </c>
      <c r="Q4" s="126">
        <f t="shared" ref="Q4:Q7" si="1">O4*1.5</f>
        <v>76.538999999999987</v>
      </c>
      <c r="S4" s="127">
        <f>COUNTA(G4:J4)</f>
        <v>4</v>
      </c>
      <c r="T4" s="127">
        <f t="shared" ref="T4:T7" si="2">COUNTA(K4)</f>
        <v>1</v>
      </c>
      <c r="U4" s="127">
        <v>2</v>
      </c>
      <c r="V4" s="127">
        <v>3</v>
      </c>
      <c r="W4" s="127">
        <f t="shared" ref="W4:W7" si="3">SUM(S4:V4)</f>
        <v>10</v>
      </c>
    </row>
    <row r="5" spans="1:23" ht="24" customHeight="1">
      <c r="A5" s="4" t="s">
        <v>154</v>
      </c>
      <c r="B5" s="74">
        <v>2</v>
      </c>
      <c r="C5" s="74" t="s">
        <v>117</v>
      </c>
      <c r="D5" s="86">
        <v>25</v>
      </c>
      <c r="E5" s="87">
        <f>D5*B5</f>
        <v>50</v>
      </c>
      <c r="G5" s="124"/>
      <c r="H5" s="128"/>
      <c r="I5" s="128">
        <v>43.26</v>
      </c>
      <c r="J5" s="128"/>
      <c r="K5" s="124">
        <v>60</v>
      </c>
      <c r="L5" s="124">
        <v>50</v>
      </c>
      <c r="M5" s="128">
        <v>51.38</v>
      </c>
      <c r="O5" s="126">
        <f>AVERAGE(G5:M5)</f>
        <v>51.16</v>
      </c>
      <c r="P5" s="126">
        <f t="shared" si="0"/>
        <v>25.58</v>
      </c>
      <c r="Q5" s="126">
        <f t="shared" si="1"/>
        <v>76.739999999999995</v>
      </c>
      <c r="S5" s="127">
        <f>COUNTA(G5:J5)</f>
        <v>1</v>
      </c>
      <c r="T5" s="127">
        <f t="shared" si="2"/>
        <v>1</v>
      </c>
      <c r="U5" s="127">
        <v>3</v>
      </c>
      <c r="V5" s="127">
        <v>3</v>
      </c>
      <c r="W5" s="127">
        <f t="shared" si="3"/>
        <v>8</v>
      </c>
    </row>
    <row r="6" spans="1:23" ht="24" customHeight="1">
      <c r="A6" s="4" t="s">
        <v>178</v>
      </c>
      <c r="B6" s="74">
        <v>2</v>
      </c>
      <c r="C6" s="74" t="s">
        <v>117</v>
      </c>
      <c r="D6" s="86">
        <v>18</v>
      </c>
      <c r="E6" s="87">
        <f>D6*B6</f>
        <v>36</v>
      </c>
      <c r="G6" s="124">
        <v>27.9</v>
      </c>
      <c r="H6" s="125">
        <v>7.07</v>
      </c>
      <c r="I6" s="128"/>
      <c r="J6" s="128">
        <v>14.85</v>
      </c>
      <c r="K6" s="125">
        <v>45</v>
      </c>
      <c r="L6" s="124">
        <v>21.49</v>
      </c>
      <c r="M6" s="128">
        <v>38.270000000000003</v>
      </c>
      <c r="O6" s="126">
        <f>AVERAGE(G6,J6,L6,M6)</f>
        <v>25.627499999999998</v>
      </c>
      <c r="P6" s="126">
        <f t="shared" si="0"/>
        <v>12.813749999999999</v>
      </c>
      <c r="Q6" s="126">
        <f t="shared" si="1"/>
        <v>38.441249999999997</v>
      </c>
      <c r="S6" s="127">
        <f>COUNTA(G6:J6)</f>
        <v>3</v>
      </c>
      <c r="T6" s="127">
        <f t="shared" si="2"/>
        <v>1</v>
      </c>
      <c r="U6" s="127">
        <v>45</v>
      </c>
      <c r="V6" s="127">
        <v>3</v>
      </c>
      <c r="W6" s="127">
        <f t="shared" si="3"/>
        <v>52</v>
      </c>
    </row>
    <row r="7" spans="1:23" ht="24" customHeight="1">
      <c r="A7" s="4" t="s">
        <v>383</v>
      </c>
      <c r="B7" s="103">
        <v>6</v>
      </c>
      <c r="C7" s="103" t="s">
        <v>112</v>
      </c>
      <c r="D7" s="86">
        <v>5</v>
      </c>
      <c r="E7" s="87">
        <f>D7*B7</f>
        <v>30</v>
      </c>
      <c r="G7" s="124">
        <v>7.89</v>
      </c>
      <c r="H7" s="125">
        <v>2.46</v>
      </c>
      <c r="I7" s="125">
        <v>34.14</v>
      </c>
      <c r="J7" s="128">
        <v>6.24</v>
      </c>
      <c r="K7" s="124">
        <v>11.66</v>
      </c>
      <c r="L7" s="124">
        <v>7.19</v>
      </c>
      <c r="M7" s="128">
        <v>8.64</v>
      </c>
      <c r="O7" s="126">
        <f>AVERAGE(G7,J7:M7)</f>
        <v>8.3239999999999998</v>
      </c>
      <c r="P7" s="126">
        <f t="shared" si="0"/>
        <v>4.1619999999999999</v>
      </c>
      <c r="Q7" s="126">
        <f t="shared" si="1"/>
        <v>12.486000000000001</v>
      </c>
      <c r="S7" s="127">
        <f>COUNTA(G7:J7)</f>
        <v>4</v>
      </c>
      <c r="T7" s="127">
        <f t="shared" si="2"/>
        <v>1</v>
      </c>
      <c r="U7" s="127">
        <v>10</v>
      </c>
      <c r="V7" s="127">
        <v>3</v>
      </c>
      <c r="W7" s="127">
        <f t="shared" si="3"/>
        <v>18</v>
      </c>
    </row>
    <row r="8" spans="1:23">
      <c r="A8" s="294" t="s">
        <v>146</v>
      </c>
      <c r="B8" s="294"/>
      <c r="C8" s="294"/>
      <c r="D8" s="294"/>
      <c r="E8" s="88">
        <f>SUM(E3:E7)</f>
        <v>256</v>
      </c>
    </row>
    <row r="9" spans="1:23">
      <c r="A9" s="295" t="s">
        <v>118</v>
      </c>
      <c r="B9" s="295"/>
      <c r="C9" s="295"/>
      <c r="D9" s="296"/>
      <c r="E9" s="89">
        <f>(E8/12)</f>
        <v>21.333333333333332</v>
      </c>
    </row>
    <row r="11" spans="1:23" ht="36" customHeight="1"/>
    <row r="12" spans="1:23" ht="39.75" customHeight="1"/>
    <row r="60" spans="1:1">
      <c r="A60" s="40"/>
    </row>
    <row r="71" spans="1:1">
      <c r="A71" s="40"/>
    </row>
    <row r="93" spans="1:1">
      <c r="A93" s="40"/>
    </row>
    <row r="102" spans="1:1">
      <c r="A102" s="41"/>
    </row>
  </sheetData>
  <sortState xmlns:xlrd2="http://schemas.microsoft.com/office/spreadsheetml/2017/richdata2" ref="A3:E7">
    <sortCondition ref="A3:A7"/>
  </sortState>
  <mergeCells count="3">
    <mergeCell ref="A1:E1"/>
    <mergeCell ref="A8:D8"/>
    <mergeCell ref="A9:D9"/>
  </mergeCells>
  <phoneticPr fontId="20" type="noConversion"/>
  <pageMargins left="0.51181102362204722" right="0.51181102362204722" top="0.78740157480314965" bottom="0.78740157480314965" header="0.31496062992125984" footer="0.31496062992125984"/>
  <pageSetup paperSize="9" scale="67" orientation="portrait" r:id="rId1"/>
  <ignoredErrors>
    <ignoredError sqref="S3:S7" formulaRange="1"/>
    <ignoredError sqref="O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D7063-79E9-4EA4-BF8E-8F16D89037BE}">
  <sheetPr codeName="Planilha4">
    <pageSetUpPr fitToPage="1"/>
  </sheetPr>
  <dimension ref="A1:X103"/>
  <sheetViews>
    <sheetView showGridLines="0" zoomScale="80" zoomScaleNormal="80" workbookViewId="0">
      <selection activeCell="A2" sqref="A2"/>
    </sheetView>
  </sheetViews>
  <sheetFormatPr defaultColWidth="9.140625" defaultRowHeight="15.75"/>
  <cols>
    <col min="1" max="1" width="76.140625" style="7" customWidth="1"/>
    <col min="2" max="2" width="8.7109375" style="7" customWidth="1"/>
    <col min="3" max="3" width="15" style="7" customWidth="1"/>
    <col min="4" max="5" width="15.85546875" style="7" customWidth="1"/>
    <col min="6" max="6" width="21.7109375" style="7" customWidth="1"/>
    <col min="7" max="7" width="5.7109375" style="7" customWidth="1"/>
    <col min="8" max="10" width="15.7109375" style="7" customWidth="1"/>
    <col min="11" max="11" width="18.140625" style="7" customWidth="1"/>
    <col min="12" max="14" width="15.7109375" style="7" customWidth="1"/>
    <col min="15" max="15" width="5.7109375" style="7" customWidth="1"/>
    <col min="16" max="18" width="15.7109375" style="7" customWidth="1"/>
    <col min="19" max="19" width="5.7109375" style="7" customWidth="1"/>
    <col min="20" max="24" width="15.7109375" style="7" customWidth="1"/>
    <col min="25" max="16384" width="9.140625" style="7"/>
  </cols>
  <sheetData>
    <row r="1" spans="1:24" ht="19.5">
      <c r="A1" s="293" t="s">
        <v>314</v>
      </c>
      <c r="B1" s="293"/>
      <c r="C1" s="293"/>
      <c r="D1" s="293"/>
      <c r="E1" s="297"/>
      <c r="F1" s="111"/>
    </row>
    <row r="2" spans="1:24" ht="45">
      <c r="A2" s="84" t="s">
        <v>381</v>
      </c>
      <c r="B2" s="84" t="s">
        <v>301</v>
      </c>
      <c r="C2" s="84" t="s">
        <v>116</v>
      </c>
      <c r="D2" s="85" t="s">
        <v>120</v>
      </c>
      <c r="E2" s="85" t="s">
        <v>121</v>
      </c>
      <c r="F2" s="85" t="s">
        <v>324</v>
      </c>
      <c r="H2" s="115" t="s">
        <v>323</v>
      </c>
      <c r="I2" s="115" t="s">
        <v>326</v>
      </c>
      <c r="J2" s="115" t="s">
        <v>327</v>
      </c>
      <c r="K2" s="115" t="s">
        <v>328</v>
      </c>
      <c r="L2" s="115" t="s">
        <v>357</v>
      </c>
      <c r="M2" s="115" t="s">
        <v>368</v>
      </c>
      <c r="N2" s="115" t="s">
        <v>384</v>
      </c>
      <c r="P2" s="115" t="s">
        <v>356</v>
      </c>
      <c r="Q2" s="115" t="s">
        <v>354</v>
      </c>
      <c r="R2" s="115" t="s">
        <v>355</v>
      </c>
      <c r="T2" s="115" t="s">
        <v>358</v>
      </c>
      <c r="U2" s="115" t="s">
        <v>362</v>
      </c>
      <c r="V2" s="115" t="s">
        <v>359</v>
      </c>
      <c r="W2" s="115" t="s">
        <v>360</v>
      </c>
      <c r="X2" s="115" t="s">
        <v>361</v>
      </c>
    </row>
    <row r="3" spans="1:24" ht="24" customHeight="1">
      <c r="A3" s="104" t="s">
        <v>311</v>
      </c>
      <c r="B3" s="107">
        <v>2</v>
      </c>
      <c r="C3" s="107" t="s">
        <v>112</v>
      </c>
      <c r="D3" s="86">
        <f>ROUND(AVERAGE(H3:J3,L3:M3),2)</f>
        <v>44.41</v>
      </c>
      <c r="E3" s="87">
        <f t="shared" ref="E3:E8" si="0">D3*B3</f>
        <v>88.82</v>
      </c>
      <c r="F3" s="110"/>
      <c r="H3" s="124">
        <v>57.38</v>
      </c>
      <c r="I3" s="124">
        <v>31.09</v>
      </c>
      <c r="J3" s="124">
        <v>56.58</v>
      </c>
      <c r="K3" s="125">
        <v>19.8</v>
      </c>
      <c r="L3" s="124">
        <v>35</v>
      </c>
      <c r="M3" s="124">
        <v>42</v>
      </c>
      <c r="N3" s="124">
        <v>45.04</v>
      </c>
      <c r="P3" s="126">
        <f>AVERAGE(H3:J3,L3:N3)</f>
        <v>44.515000000000008</v>
      </c>
      <c r="Q3" s="126">
        <f>P3*0.5</f>
        <v>22.257500000000004</v>
      </c>
      <c r="R3" s="126">
        <f>P3*1.5</f>
        <v>66.772500000000008</v>
      </c>
      <c r="T3" s="127">
        <f>COUNTA(H3:K3)</f>
        <v>4</v>
      </c>
      <c r="U3" s="127">
        <f>COUNTA(L3)</f>
        <v>1</v>
      </c>
      <c r="V3" s="127">
        <v>25</v>
      </c>
      <c r="W3" s="127">
        <v>3</v>
      </c>
      <c r="X3" s="127">
        <f>SUM(T3:W3)</f>
        <v>33</v>
      </c>
    </row>
    <row r="4" spans="1:24" ht="24" customHeight="1">
      <c r="A4" s="104" t="s">
        <v>307</v>
      </c>
      <c r="B4" s="107">
        <v>12</v>
      </c>
      <c r="C4" s="107" t="s">
        <v>112</v>
      </c>
      <c r="D4" s="86">
        <f>ROUND(AVERAGE(H4,K4:N4),2)</f>
        <v>3.72</v>
      </c>
      <c r="E4" s="87">
        <f t="shared" si="0"/>
        <v>44.64</v>
      </c>
      <c r="F4" s="110"/>
      <c r="H4" s="124">
        <v>3.63</v>
      </c>
      <c r="I4" s="125">
        <v>1.6</v>
      </c>
      <c r="J4" s="125">
        <v>6.35</v>
      </c>
      <c r="K4" s="124">
        <v>2.2799999999999998</v>
      </c>
      <c r="L4" s="128">
        <v>5.8</v>
      </c>
      <c r="M4" s="124">
        <v>2.4900000000000002</v>
      </c>
      <c r="N4" s="124">
        <v>4.41</v>
      </c>
      <c r="P4" s="126">
        <f>AVERAGE(H4,J4:N4)</f>
        <v>4.1599999999999993</v>
      </c>
      <c r="Q4" s="126">
        <f t="shared" ref="Q4:Q8" si="1">P4*0.5</f>
        <v>2.0799999999999996</v>
      </c>
      <c r="R4" s="126">
        <f t="shared" ref="R4:R7" si="2">P4*1.5</f>
        <v>6.2399999999999984</v>
      </c>
      <c r="T4" s="127">
        <f t="shared" ref="T4:T7" si="3">COUNTA(H4:K4)</f>
        <v>4</v>
      </c>
      <c r="U4" s="127">
        <f t="shared" ref="U4:U7" si="4">COUNTA(L4)</f>
        <v>1</v>
      </c>
      <c r="V4" s="127">
        <v>43</v>
      </c>
      <c r="W4" s="127">
        <v>3</v>
      </c>
      <c r="X4" s="127">
        <f t="shared" ref="X4:X7" si="5">SUM(T4:W4)</f>
        <v>51</v>
      </c>
    </row>
    <row r="5" spans="1:24" ht="24" customHeight="1">
      <c r="A5" s="104" t="s">
        <v>308</v>
      </c>
      <c r="B5" s="107">
        <v>12</v>
      </c>
      <c r="C5" s="107" t="s">
        <v>117</v>
      </c>
      <c r="D5" s="86">
        <f>ROUND(AVERAGE(I5,M5:N5),2)</f>
        <v>3.19</v>
      </c>
      <c r="E5" s="87">
        <f t="shared" si="0"/>
        <v>38.28</v>
      </c>
      <c r="F5" s="110"/>
      <c r="H5" s="124"/>
      <c r="I5" s="124">
        <v>2.37</v>
      </c>
      <c r="J5" s="124"/>
      <c r="K5" s="124"/>
      <c r="L5" s="125">
        <v>7.5</v>
      </c>
      <c r="M5" s="124">
        <v>3.49</v>
      </c>
      <c r="N5" s="124">
        <v>3.72</v>
      </c>
      <c r="P5" s="126">
        <f>AVERAGE(H5:N5)</f>
        <v>4.2700000000000005</v>
      </c>
      <c r="Q5" s="126">
        <f t="shared" si="1"/>
        <v>2.1350000000000002</v>
      </c>
      <c r="R5" s="126">
        <f t="shared" si="2"/>
        <v>6.4050000000000011</v>
      </c>
      <c r="T5" s="127">
        <f t="shared" si="3"/>
        <v>1</v>
      </c>
      <c r="U5" s="127">
        <f t="shared" si="4"/>
        <v>1</v>
      </c>
      <c r="V5" s="127">
        <v>5</v>
      </c>
      <c r="W5" s="127">
        <v>3</v>
      </c>
      <c r="X5" s="127">
        <f t="shared" si="5"/>
        <v>10</v>
      </c>
    </row>
    <row r="6" spans="1:24" ht="24" customHeight="1">
      <c r="A6" s="104" t="s">
        <v>310</v>
      </c>
      <c r="B6" s="107">
        <v>1</v>
      </c>
      <c r="C6" s="107" t="s">
        <v>117</v>
      </c>
      <c r="D6" s="86">
        <f>ROUND(AVERAGE(H6,M6:N6),2)</f>
        <v>11.36</v>
      </c>
      <c r="E6" s="87">
        <f t="shared" si="0"/>
        <v>11.36</v>
      </c>
      <c r="F6" s="110"/>
      <c r="H6" s="124">
        <v>12.9</v>
      </c>
      <c r="I6" s="124"/>
      <c r="J6" s="124"/>
      <c r="K6" s="125">
        <v>3.96</v>
      </c>
      <c r="L6" s="125">
        <v>17.5</v>
      </c>
      <c r="M6" s="124">
        <v>9.5</v>
      </c>
      <c r="N6" s="124">
        <v>11.68</v>
      </c>
      <c r="P6" s="126">
        <f>AVERAGE(H6,M6:N6)</f>
        <v>11.36</v>
      </c>
      <c r="Q6" s="126">
        <f t="shared" si="1"/>
        <v>5.68</v>
      </c>
      <c r="R6" s="126">
        <f t="shared" si="2"/>
        <v>17.04</v>
      </c>
      <c r="T6" s="127">
        <f t="shared" si="3"/>
        <v>2</v>
      </c>
      <c r="U6" s="127">
        <f t="shared" si="4"/>
        <v>1</v>
      </c>
      <c r="V6" s="127">
        <v>27</v>
      </c>
      <c r="W6" s="127">
        <v>3</v>
      </c>
      <c r="X6" s="127">
        <f t="shared" si="5"/>
        <v>33</v>
      </c>
    </row>
    <row r="7" spans="1:24" ht="24" customHeight="1">
      <c r="A7" s="104" t="s">
        <v>309</v>
      </c>
      <c r="B7" s="107">
        <v>4</v>
      </c>
      <c r="C7" s="107" t="s">
        <v>117</v>
      </c>
      <c r="D7" s="86">
        <f>ROUND(AVERAGE(H7,I7,M7:N7),2)</f>
        <v>1.39</v>
      </c>
      <c r="E7" s="87">
        <f t="shared" si="0"/>
        <v>5.56</v>
      </c>
      <c r="F7" s="110"/>
      <c r="H7" s="124">
        <v>0.98</v>
      </c>
      <c r="I7" s="124">
        <v>1.38</v>
      </c>
      <c r="J7" s="124"/>
      <c r="K7" s="125">
        <v>0.33</v>
      </c>
      <c r="L7" s="125">
        <v>3.5</v>
      </c>
      <c r="M7" s="124">
        <v>1.46</v>
      </c>
      <c r="N7" s="124">
        <v>1.72</v>
      </c>
      <c r="P7" s="126">
        <f>AVERAGE(H7,I7,M7:N7)</f>
        <v>1.385</v>
      </c>
      <c r="Q7" s="126">
        <f t="shared" si="1"/>
        <v>0.6925</v>
      </c>
      <c r="R7" s="126">
        <f t="shared" si="2"/>
        <v>2.0775000000000001</v>
      </c>
      <c r="T7" s="127">
        <f t="shared" si="3"/>
        <v>3</v>
      </c>
      <c r="U7" s="127">
        <f t="shared" si="4"/>
        <v>1</v>
      </c>
      <c r="V7" s="127">
        <v>44</v>
      </c>
      <c r="W7" s="127">
        <v>3</v>
      </c>
      <c r="X7" s="127">
        <f t="shared" si="5"/>
        <v>51</v>
      </c>
    </row>
    <row r="8" spans="1:24" ht="24" customHeight="1">
      <c r="A8" s="104" t="s">
        <v>315</v>
      </c>
      <c r="B8" s="107">
        <v>1</v>
      </c>
      <c r="C8" s="107" t="s">
        <v>117</v>
      </c>
      <c r="D8" s="86">
        <f>ROUND(AVERAGE(K8:N8),2)</f>
        <v>19.96</v>
      </c>
      <c r="E8" s="87">
        <f t="shared" si="0"/>
        <v>19.96</v>
      </c>
      <c r="F8" s="110"/>
      <c r="H8" s="124"/>
      <c r="I8" s="124"/>
      <c r="J8" s="124"/>
      <c r="K8" s="124">
        <v>18.809999999999999</v>
      </c>
      <c r="L8" s="124">
        <v>28.5</v>
      </c>
      <c r="M8" s="124">
        <v>11</v>
      </c>
      <c r="N8" s="124">
        <v>21.51</v>
      </c>
      <c r="P8" s="126">
        <f>AVERAGE(K8:N8)</f>
        <v>19.955000000000002</v>
      </c>
      <c r="Q8" s="126">
        <f t="shared" si="1"/>
        <v>9.9775000000000009</v>
      </c>
      <c r="R8" s="126">
        <f t="shared" ref="R8" si="6">P8*1.5</f>
        <v>29.932500000000005</v>
      </c>
      <c r="T8" s="127">
        <f>COUNTA(H8:K8)</f>
        <v>1</v>
      </c>
      <c r="U8" s="127">
        <f t="shared" ref="U8" si="7">COUNTA(L8)</f>
        <v>1</v>
      </c>
      <c r="V8" s="127">
        <v>5</v>
      </c>
      <c r="W8" s="127">
        <v>3</v>
      </c>
      <c r="X8" s="127">
        <f t="shared" ref="X8" si="8">SUM(T8:W8)</f>
        <v>10</v>
      </c>
    </row>
    <row r="9" spans="1:24">
      <c r="A9" s="294" t="s">
        <v>146</v>
      </c>
      <c r="B9" s="294"/>
      <c r="C9" s="294"/>
      <c r="D9" s="294"/>
      <c r="E9" s="88">
        <f>SUM(E3:E8)</f>
        <v>208.61999999999998</v>
      </c>
    </row>
    <row r="10" spans="1:24">
      <c r="A10" s="295" t="s">
        <v>118</v>
      </c>
      <c r="B10" s="295"/>
      <c r="C10" s="295"/>
      <c r="D10" s="296"/>
      <c r="E10" s="89">
        <f>(E9/12)</f>
        <v>17.384999999999998</v>
      </c>
    </row>
    <row r="12" spans="1:24" ht="36" customHeight="1"/>
    <row r="61" spans="1:1">
      <c r="A61" s="40"/>
    </row>
    <row r="72" spans="1:1">
      <c r="A72" s="40"/>
    </row>
    <row r="94" spans="1:1">
      <c r="A94" s="40"/>
    </row>
    <row r="103" spans="1:1">
      <c r="A103" s="41"/>
    </row>
  </sheetData>
  <mergeCells count="3">
    <mergeCell ref="A1:E1"/>
    <mergeCell ref="A9:D9"/>
    <mergeCell ref="A10:D10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ignoredErrors>
    <ignoredError sqref="T3:T8 D5:D7 P6:P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5">
    <pageSetUpPr fitToPage="1"/>
  </sheetPr>
  <dimension ref="A1:Y92"/>
  <sheetViews>
    <sheetView showGridLines="0" zoomScale="80" zoomScaleNormal="80" zoomScaleSheetLayoutView="53" workbookViewId="0">
      <selection activeCell="G1" sqref="G1:G1048576"/>
    </sheetView>
  </sheetViews>
  <sheetFormatPr defaultColWidth="9.140625" defaultRowHeight="15.75"/>
  <cols>
    <col min="1" max="1" width="72" style="11" customWidth="1"/>
    <col min="2" max="2" width="20.28515625" style="10" bestFit="1" customWidth="1"/>
    <col min="3" max="3" width="14.7109375" style="10" customWidth="1"/>
    <col min="4" max="4" width="13.7109375" style="10" customWidth="1"/>
    <col min="5" max="5" width="19.42578125" style="10" customWidth="1"/>
    <col min="6" max="6" width="14.7109375" style="10" customWidth="1"/>
    <col min="7" max="7" width="21.7109375" style="10" customWidth="1"/>
    <col min="8" max="8" width="5.7109375" style="9" customWidth="1"/>
    <col min="9" max="13" width="15.7109375" style="9" customWidth="1"/>
    <col min="14" max="15" width="15.7109375" style="7" customWidth="1"/>
    <col min="16" max="16" width="5.7109375" style="9" customWidth="1"/>
    <col min="17" max="19" width="15.7109375" style="9" customWidth="1"/>
    <col min="20" max="20" width="5.7109375" style="9" customWidth="1"/>
    <col min="21" max="25" width="15.7109375" style="9" customWidth="1"/>
    <col min="26" max="26" width="9.140625" style="9"/>
    <col min="27" max="27" width="13.5703125" style="9" bestFit="1" customWidth="1"/>
    <col min="28" max="16384" width="9.140625" style="9"/>
  </cols>
  <sheetData>
    <row r="1" spans="1:25" s="7" customFormat="1" ht="30" customHeight="1">
      <c r="A1" s="299" t="s">
        <v>149</v>
      </c>
      <c r="B1" s="299"/>
      <c r="C1" s="299"/>
      <c r="D1" s="299"/>
      <c r="E1" s="299"/>
      <c r="F1" s="300"/>
      <c r="G1" s="112"/>
    </row>
    <row r="2" spans="1:25" s="8" customFormat="1" ht="36.75" customHeight="1">
      <c r="A2" s="101" t="s">
        <v>106</v>
      </c>
      <c r="B2" s="84" t="s">
        <v>107</v>
      </c>
      <c r="C2" s="85" t="s">
        <v>108</v>
      </c>
      <c r="D2" s="85" t="s">
        <v>109</v>
      </c>
      <c r="E2" s="85" t="s">
        <v>286</v>
      </c>
      <c r="F2" s="85" t="s">
        <v>240</v>
      </c>
      <c r="G2" s="85" t="s">
        <v>324</v>
      </c>
      <c r="I2" s="115" t="s">
        <v>323</v>
      </c>
      <c r="J2" s="115" t="s">
        <v>325</v>
      </c>
      <c r="K2" s="115" t="s">
        <v>326</v>
      </c>
      <c r="L2" s="115" t="s">
        <v>327</v>
      </c>
      <c r="M2" s="115" t="s">
        <v>357</v>
      </c>
      <c r="N2" s="115" t="s">
        <v>368</v>
      </c>
      <c r="O2" s="115" t="s">
        <v>384</v>
      </c>
      <c r="Q2" s="115" t="s">
        <v>356</v>
      </c>
      <c r="R2" s="115" t="s">
        <v>354</v>
      </c>
      <c r="S2" s="115" t="s">
        <v>355</v>
      </c>
      <c r="U2" s="115" t="s">
        <v>358</v>
      </c>
      <c r="V2" s="115" t="s">
        <v>362</v>
      </c>
      <c r="W2" s="115" t="s">
        <v>359</v>
      </c>
      <c r="X2" s="115" t="s">
        <v>360</v>
      </c>
      <c r="Y2" s="115" t="s">
        <v>361</v>
      </c>
    </row>
    <row r="3" spans="1:25" ht="30" customHeight="1">
      <c r="A3" s="12" t="s">
        <v>225</v>
      </c>
      <c r="B3" s="1" t="s">
        <v>226</v>
      </c>
      <c r="C3" s="34">
        <f>F3/24</f>
        <v>6.166666666666667</v>
      </c>
      <c r="D3" s="13">
        <f>ROUND(AVERAGE(I3:O3),2)</f>
        <v>9.81</v>
      </c>
      <c r="E3" s="14">
        <f t="shared" ref="E3:E42" si="0">C3*D3</f>
        <v>60.495000000000005</v>
      </c>
      <c r="F3" s="109">
        <v>148</v>
      </c>
      <c r="G3" s="110"/>
      <c r="I3" s="128">
        <v>10.46</v>
      </c>
      <c r="J3" s="128"/>
      <c r="K3" s="128"/>
      <c r="L3" s="128"/>
      <c r="M3" s="128">
        <v>9.5</v>
      </c>
      <c r="N3" s="128">
        <v>8.1999999999999993</v>
      </c>
      <c r="O3" s="128">
        <v>11.07</v>
      </c>
      <c r="Q3" s="126">
        <f t="shared" ref="Q3:Q42" si="1">AVERAGE(I3:O3)</f>
        <v>9.807500000000001</v>
      </c>
      <c r="R3" s="126">
        <f>Q3*0.5</f>
        <v>4.9037500000000005</v>
      </c>
      <c r="S3" s="126">
        <f>Q3*1.5</f>
        <v>14.711250000000001</v>
      </c>
      <c r="U3" s="127">
        <f t="shared" ref="U3:U42" si="2">COUNTA(I3:L3)</f>
        <v>1</v>
      </c>
      <c r="V3" s="127">
        <f>COUNTA(M3)</f>
        <v>1</v>
      </c>
      <c r="W3" s="127">
        <v>5</v>
      </c>
      <c r="X3" s="127">
        <v>3</v>
      </c>
      <c r="Y3" s="127">
        <f>SUM(U3:X3)</f>
        <v>10</v>
      </c>
    </row>
    <row r="4" spans="1:25" ht="30" customHeight="1">
      <c r="A4" s="12" t="s">
        <v>227</v>
      </c>
      <c r="B4" s="1" t="s">
        <v>226</v>
      </c>
      <c r="C4" s="34">
        <f t="shared" ref="C4:C42" si="3">F4/24</f>
        <v>0.5</v>
      </c>
      <c r="D4" s="13">
        <f t="shared" ref="D4:D22" si="4">ROUND(AVERAGE(I4:O4),2)</f>
        <v>37.17</v>
      </c>
      <c r="E4" s="14">
        <f t="shared" si="0"/>
        <v>18.585000000000001</v>
      </c>
      <c r="F4" s="109">
        <v>12</v>
      </c>
      <c r="G4" s="110"/>
      <c r="I4" s="128">
        <v>26.88</v>
      </c>
      <c r="J4" s="128"/>
      <c r="K4" s="128">
        <v>43.28</v>
      </c>
      <c r="L4" s="128"/>
      <c r="M4" s="128">
        <v>47.5</v>
      </c>
      <c r="N4" s="128">
        <v>29.84</v>
      </c>
      <c r="O4" s="128">
        <v>38.369999999999997</v>
      </c>
      <c r="Q4" s="126">
        <f t="shared" si="1"/>
        <v>37.173999999999999</v>
      </c>
      <c r="R4" s="126">
        <f t="shared" ref="R4:R42" si="5">Q4*0.5</f>
        <v>18.587</v>
      </c>
      <c r="S4" s="126">
        <f t="shared" ref="S4:S42" si="6">Q4*1.5</f>
        <v>55.760999999999996</v>
      </c>
      <c r="U4" s="127">
        <f t="shared" si="2"/>
        <v>2</v>
      </c>
      <c r="V4" s="127">
        <f t="shared" ref="V4:V8" si="7">COUNTA(M4)</f>
        <v>1</v>
      </c>
      <c r="W4" s="127">
        <v>36</v>
      </c>
      <c r="X4" s="127">
        <v>3</v>
      </c>
      <c r="Y4" s="127">
        <f t="shared" ref="Y4:Y8" si="8">SUM(U4:X4)</f>
        <v>42</v>
      </c>
    </row>
    <row r="5" spans="1:25" ht="30" customHeight="1">
      <c r="A5" s="12" t="s">
        <v>228</v>
      </c>
      <c r="B5" s="1" t="s">
        <v>229</v>
      </c>
      <c r="C5" s="34">
        <f t="shared" si="3"/>
        <v>0.5</v>
      </c>
      <c r="D5" s="13">
        <f>ROUND(AVERAGE(N5:O5),2)</f>
        <v>38.58</v>
      </c>
      <c r="E5" s="14">
        <f t="shared" si="0"/>
        <v>19.29</v>
      </c>
      <c r="F5" s="109">
        <v>12</v>
      </c>
      <c r="G5" s="110"/>
      <c r="I5" s="128"/>
      <c r="J5" s="128"/>
      <c r="K5" s="128"/>
      <c r="L5" s="128"/>
      <c r="M5" s="125">
        <v>85.4</v>
      </c>
      <c r="N5" s="128">
        <v>28.56</v>
      </c>
      <c r="O5" s="128">
        <v>48.6</v>
      </c>
      <c r="Q5" s="126">
        <f>AVERAGE(N5:O5)</f>
        <v>38.58</v>
      </c>
      <c r="R5" s="126">
        <f t="shared" si="5"/>
        <v>19.29</v>
      </c>
      <c r="S5" s="126">
        <f t="shared" si="6"/>
        <v>57.87</v>
      </c>
      <c r="U5" s="127">
        <f t="shared" si="2"/>
        <v>0</v>
      </c>
      <c r="V5" s="127">
        <f t="shared" si="7"/>
        <v>1</v>
      </c>
      <c r="W5" s="127">
        <v>18</v>
      </c>
      <c r="X5" s="127">
        <v>3</v>
      </c>
      <c r="Y5" s="127">
        <f t="shared" si="8"/>
        <v>22</v>
      </c>
    </row>
    <row r="6" spans="1:25" ht="30" customHeight="1">
      <c r="A6" s="12" t="s">
        <v>230</v>
      </c>
      <c r="B6" s="1" t="s">
        <v>231</v>
      </c>
      <c r="C6" s="34">
        <f t="shared" si="3"/>
        <v>1</v>
      </c>
      <c r="D6" s="13">
        <f t="shared" si="4"/>
        <v>7.08</v>
      </c>
      <c r="E6" s="14">
        <f t="shared" si="0"/>
        <v>7.08</v>
      </c>
      <c r="F6" s="109">
        <v>24</v>
      </c>
      <c r="G6" s="110"/>
      <c r="I6" s="128">
        <v>6.5</v>
      </c>
      <c r="J6" s="128">
        <v>7</v>
      </c>
      <c r="K6" s="128">
        <v>7.85</v>
      </c>
      <c r="L6" s="128">
        <v>7.58</v>
      </c>
      <c r="M6" s="128">
        <v>6.5</v>
      </c>
      <c r="N6" s="128">
        <v>6.16</v>
      </c>
      <c r="O6" s="128">
        <v>7.94</v>
      </c>
      <c r="Q6" s="126">
        <f t="shared" si="1"/>
        <v>7.0757142857142856</v>
      </c>
      <c r="R6" s="126">
        <f t="shared" si="5"/>
        <v>3.5378571428571428</v>
      </c>
      <c r="S6" s="126">
        <f t="shared" si="6"/>
        <v>10.613571428571429</v>
      </c>
      <c r="U6" s="127">
        <f t="shared" si="2"/>
        <v>4</v>
      </c>
      <c r="V6" s="127">
        <f t="shared" si="7"/>
        <v>1</v>
      </c>
      <c r="W6" s="127">
        <v>43</v>
      </c>
      <c r="X6" s="127">
        <v>3</v>
      </c>
      <c r="Y6" s="127">
        <f t="shared" si="8"/>
        <v>51</v>
      </c>
    </row>
    <row r="7" spans="1:25" ht="30" customHeight="1">
      <c r="A7" s="12" t="s">
        <v>232</v>
      </c>
      <c r="B7" s="1" t="s">
        <v>233</v>
      </c>
      <c r="C7" s="34">
        <f t="shared" si="3"/>
        <v>0.33333333333333331</v>
      </c>
      <c r="D7" s="13">
        <f>ROUND(AVERAGE(O7),2)</f>
        <v>158.6</v>
      </c>
      <c r="E7" s="14">
        <f t="shared" si="0"/>
        <v>52.86666666666666</v>
      </c>
      <c r="F7" s="109">
        <v>8</v>
      </c>
      <c r="G7" s="110"/>
      <c r="I7" s="128"/>
      <c r="J7" s="128"/>
      <c r="K7" s="128"/>
      <c r="L7" s="128"/>
      <c r="M7" s="125">
        <v>18.5</v>
      </c>
      <c r="N7" s="128"/>
      <c r="O7" s="128">
        <v>158.6</v>
      </c>
      <c r="Q7" s="126">
        <f>AVERAGE(O7)</f>
        <v>158.6</v>
      </c>
      <c r="R7" s="126">
        <f t="shared" si="5"/>
        <v>79.3</v>
      </c>
      <c r="S7" s="126">
        <f t="shared" si="6"/>
        <v>237.89999999999998</v>
      </c>
      <c r="U7" s="127">
        <f t="shared" si="2"/>
        <v>0</v>
      </c>
      <c r="V7" s="127">
        <f t="shared" si="7"/>
        <v>1</v>
      </c>
      <c r="W7" s="127">
        <v>0</v>
      </c>
      <c r="X7" s="127">
        <v>3</v>
      </c>
      <c r="Y7" s="127">
        <f t="shared" si="8"/>
        <v>4</v>
      </c>
    </row>
    <row r="8" spans="1:25" ht="30" customHeight="1">
      <c r="A8" s="12" t="s">
        <v>234</v>
      </c>
      <c r="B8" s="1" t="s">
        <v>117</v>
      </c>
      <c r="C8" s="34">
        <f t="shared" si="3"/>
        <v>0.58333333333333337</v>
      </c>
      <c r="D8" s="13">
        <f t="shared" si="4"/>
        <v>2.35</v>
      </c>
      <c r="E8" s="14">
        <f t="shared" si="0"/>
        <v>1.3708333333333336</v>
      </c>
      <c r="F8" s="109">
        <v>14</v>
      </c>
      <c r="G8" s="110"/>
      <c r="I8" s="128"/>
      <c r="J8" s="128"/>
      <c r="K8" s="128"/>
      <c r="L8" s="128"/>
      <c r="M8" s="128">
        <v>1.8</v>
      </c>
      <c r="N8" s="128"/>
      <c r="O8" s="128">
        <v>2.89</v>
      </c>
      <c r="Q8" s="126">
        <f t="shared" si="1"/>
        <v>2.3450000000000002</v>
      </c>
      <c r="R8" s="126">
        <f t="shared" si="5"/>
        <v>1.1725000000000001</v>
      </c>
      <c r="S8" s="126">
        <f t="shared" si="6"/>
        <v>3.5175000000000001</v>
      </c>
      <c r="U8" s="127">
        <f t="shared" si="2"/>
        <v>0</v>
      </c>
      <c r="V8" s="127">
        <f t="shared" si="7"/>
        <v>1</v>
      </c>
      <c r="W8" s="127">
        <v>0</v>
      </c>
      <c r="X8" s="127">
        <v>3</v>
      </c>
      <c r="Y8" s="127">
        <f t="shared" si="8"/>
        <v>4</v>
      </c>
    </row>
    <row r="9" spans="1:25" ht="30" customHeight="1">
      <c r="A9" s="12" t="s">
        <v>235</v>
      </c>
      <c r="B9" s="1" t="s">
        <v>233</v>
      </c>
      <c r="C9" s="34">
        <f t="shared" si="3"/>
        <v>0.16666666666666666</v>
      </c>
      <c r="D9" s="13">
        <f>ROUND(AVERAGE(I9,K9,N9,O9),2)</f>
        <v>32.130000000000003</v>
      </c>
      <c r="E9" s="14">
        <f t="shared" si="0"/>
        <v>5.3550000000000004</v>
      </c>
      <c r="F9" s="109">
        <v>4</v>
      </c>
      <c r="G9" s="110"/>
      <c r="I9" s="128">
        <v>31.02</v>
      </c>
      <c r="J9" s="128"/>
      <c r="K9" s="128">
        <v>31.62</v>
      </c>
      <c r="L9" s="128"/>
      <c r="M9" s="125">
        <v>142</v>
      </c>
      <c r="N9" s="128">
        <v>25.5</v>
      </c>
      <c r="O9" s="128">
        <v>40.369999999999997</v>
      </c>
      <c r="Q9" s="126">
        <f>AVERAGE(I9,K9,N9:O9)</f>
        <v>32.127499999999998</v>
      </c>
      <c r="R9" s="126">
        <f t="shared" si="5"/>
        <v>16.063749999999999</v>
      </c>
      <c r="S9" s="126">
        <f t="shared" si="6"/>
        <v>48.191249999999997</v>
      </c>
      <c r="U9" s="127">
        <f t="shared" si="2"/>
        <v>2</v>
      </c>
      <c r="V9" s="127">
        <f t="shared" ref="V9:V42" si="9">COUNTA(M9)</f>
        <v>1</v>
      </c>
      <c r="W9" s="127">
        <v>4</v>
      </c>
      <c r="X9" s="127">
        <v>3</v>
      </c>
      <c r="Y9" s="127">
        <f t="shared" ref="Y9:Y42" si="10">SUM(U9:X9)</f>
        <v>10</v>
      </c>
    </row>
    <row r="10" spans="1:25" ht="30" customHeight="1">
      <c r="A10" s="12" t="s">
        <v>318</v>
      </c>
      <c r="B10" s="106" t="s">
        <v>117</v>
      </c>
      <c r="C10" s="34">
        <f t="shared" si="3"/>
        <v>1</v>
      </c>
      <c r="D10" s="13">
        <f>ROUND(AVERAGE(M10:O10),2)</f>
        <v>13.17</v>
      </c>
      <c r="E10" s="14">
        <f t="shared" si="0"/>
        <v>13.17</v>
      </c>
      <c r="F10" s="109">
        <v>24</v>
      </c>
      <c r="G10" s="110"/>
      <c r="I10" s="128"/>
      <c r="J10" s="128"/>
      <c r="K10" s="125">
        <v>4.43</v>
      </c>
      <c r="L10" s="128"/>
      <c r="M10" s="128">
        <v>12.5</v>
      </c>
      <c r="N10" s="128">
        <v>14.08</v>
      </c>
      <c r="O10" s="128">
        <v>12.92</v>
      </c>
      <c r="Q10" s="126">
        <f>AVERAGE(M10:O10)</f>
        <v>13.166666666666666</v>
      </c>
      <c r="R10" s="126">
        <f t="shared" si="5"/>
        <v>6.583333333333333</v>
      </c>
      <c r="S10" s="126">
        <f t="shared" si="6"/>
        <v>19.75</v>
      </c>
      <c r="U10" s="127">
        <f t="shared" si="2"/>
        <v>1</v>
      </c>
      <c r="V10" s="127">
        <f t="shared" si="9"/>
        <v>1</v>
      </c>
      <c r="W10" s="127">
        <v>17</v>
      </c>
      <c r="X10" s="127">
        <v>3</v>
      </c>
      <c r="Y10" s="127">
        <f t="shared" si="10"/>
        <v>22</v>
      </c>
    </row>
    <row r="11" spans="1:25" ht="30" customHeight="1">
      <c r="A11" s="12" t="s">
        <v>122</v>
      </c>
      <c r="B11" s="1" t="s">
        <v>226</v>
      </c>
      <c r="C11" s="34">
        <f t="shared" si="3"/>
        <v>8.4166666666666661</v>
      </c>
      <c r="D11" s="13">
        <f>ROUND(AVERAGE(I11:O11),2)</f>
        <v>40.32</v>
      </c>
      <c r="E11" s="14">
        <f t="shared" si="0"/>
        <v>339.35999999999996</v>
      </c>
      <c r="F11" s="109">
        <v>202</v>
      </c>
      <c r="G11" s="110"/>
      <c r="I11" s="128">
        <v>27.81</v>
      </c>
      <c r="J11" s="128"/>
      <c r="K11" s="128"/>
      <c r="L11" s="128"/>
      <c r="M11" s="128">
        <v>57</v>
      </c>
      <c r="N11" s="128">
        <v>32.07</v>
      </c>
      <c r="O11" s="128">
        <v>44.39</v>
      </c>
      <c r="Q11" s="126">
        <f t="shared" si="1"/>
        <v>40.317499999999995</v>
      </c>
      <c r="R11" s="126">
        <f t="shared" si="5"/>
        <v>20.158749999999998</v>
      </c>
      <c r="S11" s="126">
        <f t="shared" si="6"/>
        <v>60.476249999999993</v>
      </c>
      <c r="U11" s="127">
        <f t="shared" si="2"/>
        <v>1</v>
      </c>
      <c r="V11" s="127">
        <f t="shared" si="9"/>
        <v>1</v>
      </c>
      <c r="W11" s="127">
        <v>10</v>
      </c>
      <c r="X11" s="127">
        <v>3</v>
      </c>
      <c r="Y11" s="127">
        <f t="shared" si="10"/>
        <v>15</v>
      </c>
    </row>
    <row r="12" spans="1:25" ht="30" customHeight="1">
      <c r="A12" s="12" t="s">
        <v>236</v>
      </c>
      <c r="B12" s="1" t="s">
        <v>237</v>
      </c>
      <c r="C12" s="34">
        <f t="shared" si="3"/>
        <v>7.666666666666667</v>
      </c>
      <c r="D12" s="13">
        <f>ROUND(AVERAGE(I12:O12),2)</f>
        <v>8.42</v>
      </c>
      <c r="E12" s="14">
        <f t="shared" si="0"/>
        <v>64.553333333333342</v>
      </c>
      <c r="F12" s="109">
        <v>184</v>
      </c>
      <c r="G12" s="110"/>
      <c r="I12" s="128">
        <v>6.31</v>
      </c>
      <c r="J12" s="128">
        <v>8.6999999999999993</v>
      </c>
      <c r="K12" s="128">
        <v>7.02</v>
      </c>
      <c r="L12" s="128">
        <v>10.91</v>
      </c>
      <c r="M12" s="128">
        <v>8.6999999999999993</v>
      </c>
      <c r="N12" s="128">
        <v>8</v>
      </c>
      <c r="O12" s="128">
        <v>9.2899999999999991</v>
      </c>
      <c r="Q12" s="126">
        <f t="shared" si="1"/>
        <v>8.418571428571429</v>
      </c>
      <c r="R12" s="126">
        <f t="shared" si="5"/>
        <v>4.2092857142857145</v>
      </c>
      <c r="S12" s="126">
        <f t="shared" si="6"/>
        <v>12.627857142857144</v>
      </c>
      <c r="U12" s="127">
        <f t="shared" si="2"/>
        <v>4</v>
      </c>
      <c r="V12" s="127">
        <f t="shared" si="9"/>
        <v>1</v>
      </c>
      <c r="W12" s="127">
        <v>41</v>
      </c>
      <c r="X12" s="127">
        <v>3</v>
      </c>
      <c r="Y12" s="127">
        <f t="shared" si="10"/>
        <v>49</v>
      </c>
    </row>
    <row r="13" spans="1:25" ht="30" customHeight="1">
      <c r="A13" s="12" t="s">
        <v>238</v>
      </c>
      <c r="B13" s="1" t="s">
        <v>239</v>
      </c>
      <c r="C13" s="34">
        <f t="shared" si="3"/>
        <v>10.166666666666666</v>
      </c>
      <c r="D13" s="13">
        <f>ROUND(AVERAGE(I13:O13),2)</f>
        <v>1.96</v>
      </c>
      <c r="E13" s="14">
        <f t="shared" si="0"/>
        <v>19.926666666666666</v>
      </c>
      <c r="F13" s="109">
        <v>244</v>
      </c>
      <c r="G13" s="110"/>
      <c r="I13" s="128">
        <v>1.76</v>
      </c>
      <c r="J13" s="128">
        <v>2</v>
      </c>
      <c r="K13" s="128"/>
      <c r="L13" s="128">
        <v>2.34</v>
      </c>
      <c r="M13" s="128">
        <v>2.2000000000000002</v>
      </c>
      <c r="N13" s="128">
        <v>1.52</v>
      </c>
      <c r="O13" s="128">
        <v>1.96</v>
      </c>
      <c r="Q13" s="126">
        <f t="shared" si="1"/>
        <v>1.9633333333333336</v>
      </c>
      <c r="R13" s="126">
        <f t="shared" si="5"/>
        <v>0.9816666666666668</v>
      </c>
      <c r="S13" s="126">
        <f t="shared" si="6"/>
        <v>2.9450000000000003</v>
      </c>
      <c r="U13" s="127">
        <f t="shared" si="2"/>
        <v>3</v>
      </c>
      <c r="V13" s="127">
        <f t="shared" si="9"/>
        <v>1</v>
      </c>
      <c r="W13" s="127">
        <v>18</v>
      </c>
      <c r="X13" s="127">
        <v>3</v>
      </c>
      <c r="Y13" s="127">
        <f t="shared" si="10"/>
        <v>25</v>
      </c>
    </row>
    <row r="14" spans="1:25" ht="30" customHeight="1">
      <c r="A14" s="12" t="s">
        <v>155</v>
      </c>
      <c r="B14" s="1" t="s">
        <v>117</v>
      </c>
      <c r="C14" s="34">
        <f t="shared" si="3"/>
        <v>0.5</v>
      </c>
      <c r="D14" s="13">
        <f>ROUND(AVERAGE(I14:O14),2)</f>
        <v>20.55</v>
      </c>
      <c r="E14" s="14">
        <f t="shared" si="0"/>
        <v>10.275</v>
      </c>
      <c r="F14" s="109">
        <v>12</v>
      </c>
      <c r="G14" s="110"/>
      <c r="I14" s="128"/>
      <c r="J14" s="128"/>
      <c r="K14" s="128"/>
      <c r="L14" s="128"/>
      <c r="M14" s="128">
        <v>16.8</v>
      </c>
      <c r="N14" s="128"/>
      <c r="O14" s="128">
        <v>24.29</v>
      </c>
      <c r="Q14" s="126">
        <f t="shared" si="1"/>
        <v>20.545000000000002</v>
      </c>
      <c r="R14" s="126">
        <f t="shared" si="5"/>
        <v>10.272500000000001</v>
      </c>
      <c r="S14" s="126">
        <f t="shared" si="6"/>
        <v>30.817500000000003</v>
      </c>
      <c r="U14" s="127">
        <f t="shared" si="2"/>
        <v>0</v>
      </c>
      <c r="V14" s="127">
        <f t="shared" si="9"/>
        <v>1</v>
      </c>
      <c r="W14" s="127">
        <v>0</v>
      </c>
      <c r="X14" s="127">
        <v>3</v>
      </c>
      <c r="Y14" s="127">
        <f t="shared" si="10"/>
        <v>4</v>
      </c>
    </row>
    <row r="15" spans="1:25" ht="30" customHeight="1">
      <c r="A15" s="12" t="s">
        <v>241</v>
      </c>
      <c r="B15" s="1" t="s">
        <v>117</v>
      </c>
      <c r="C15" s="34">
        <f t="shared" si="3"/>
        <v>0.5</v>
      </c>
      <c r="D15" s="13">
        <f>ROUND(AVERAGE(I15:O15),2)</f>
        <v>21.55</v>
      </c>
      <c r="E15" s="14">
        <f t="shared" si="0"/>
        <v>10.775</v>
      </c>
      <c r="F15" s="109">
        <v>12</v>
      </c>
      <c r="G15" s="110"/>
      <c r="I15" s="128">
        <v>23.16</v>
      </c>
      <c r="J15" s="128"/>
      <c r="K15" s="128"/>
      <c r="L15" s="128"/>
      <c r="M15" s="128">
        <v>16.8</v>
      </c>
      <c r="N15" s="128"/>
      <c r="O15" s="128">
        <v>24.68</v>
      </c>
      <c r="Q15" s="126">
        <f t="shared" si="1"/>
        <v>21.546666666666667</v>
      </c>
      <c r="R15" s="126">
        <f t="shared" si="5"/>
        <v>10.773333333333333</v>
      </c>
      <c r="S15" s="126">
        <f t="shared" si="6"/>
        <v>32.32</v>
      </c>
      <c r="U15" s="127">
        <f t="shared" si="2"/>
        <v>1</v>
      </c>
      <c r="V15" s="127">
        <f t="shared" si="9"/>
        <v>1</v>
      </c>
      <c r="W15" s="127">
        <v>0</v>
      </c>
      <c r="X15" s="127">
        <v>3</v>
      </c>
      <c r="Y15" s="127">
        <f t="shared" si="10"/>
        <v>5</v>
      </c>
    </row>
    <row r="16" spans="1:25" ht="30" customHeight="1">
      <c r="A16" s="12" t="s">
        <v>242</v>
      </c>
      <c r="B16" s="1" t="s">
        <v>117</v>
      </c>
      <c r="C16" s="34">
        <f t="shared" si="3"/>
        <v>0.16666666666666666</v>
      </c>
      <c r="D16" s="13">
        <f>ROUND(AVERAGE(I16,K16:O16),2)</f>
        <v>3.49</v>
      </c>
      <c r="E16" s="14">
        <f t="shared" si="0"/>
        <v>0.58166666666666667</v>
      </c>
      <c r="F16" s="109">
        <v>4</v>
      </c>
      <c r="G16" s="110"/>
      <c r="I16" s="128">
        <v>3.02</v>
      </c>
      <c r="J16" s="125">
        <v>8</v>
      </c>
      <c r="K16" s="128">
        <v>3.83</v>
      </c>
      <c r="L16" s="128">
        <v>5.0199999999999996</v>
      </c>
      <c r="M16" s="128">
        <v>3.5</v>
      </c>
      <c r="N16" s="128">
        <v>2.4</v>
      </c>
      <c r="O16" s="128">
        <v>3.17</v>
      </c>
      <c r="Q16" s="126">
        <f>AVERAGE(I16,K16:O16)</f>
        <v>3.4899999999999998</v>
      </c>
      <c r="R16" s="126">
        <f t="shared" si="5"/>
        <v>1.7449999999999999</v>
      </c>
      <c r="S16" s="126">
        <f t="shared" si="6"/>
        <v>5.2349999999999994</v>
      </c>
      <c r="U16" s="127">
        <f t="shared" si="2"/>
        <v>4</v>
      </c>
      <c r="V16" s="127">
        <f t="shared" si="9"/>
        <v>1</v>
      </c>
      <c r="W16" s="127">
        <v>40</v>
      </c>
      <c r="X16" s="127">
        <v>3</v>
      </c>
      <c r="Y16" s="127">
        <f t="shared" si="10"/>
        <v>48</v>
      </c>
    </row>
    <row r="17" spans="1:25" ht="30" customHeight="1">
      <c r="A17" s="12" t="s">
        <v>156</v>
      </c>
      <c r="B17" s="1" t="s">
        <v>117</v>
      </c>
      <c r="C17" s="34">
        <f t="shared" si="3"/>
        <v>1.3333333333333333</v>
      </c>
      <c r="D17" s="13">
        <f>ROUND(AVERAGE(I17:K17,M17:O17),2)</f>
        <v>0.84</v>
      </c>
      <c r="E17" s="14">
        <f t="shared" si="0"/>
        <v>1.1199999999999999</v>
      </c>
      <c r="F17" s="109">
        <v>32</v>
      </c>
      <c r="G17" s="110"/>
      <c r="I17" s="128">
        <v>1.1599999999999999</v>
      </c>
      <c r="J17" s="128">
        <v>0.7</v>
      </c>
      <c r="K17" s="128">
        <v>0.66</v>
      </c>
      <c r="L17" s="125">
        <v>1.64</v>
      </c>
      <c r="M17" s="128">
        <v>0.67</v>
      </c>
      <c r="N17" s="128">
        <v>0.8</v>
      </c>
      <c r="O17" s="128">
        <v>1.06</v>
      </c>
      <c r="Q17" s="126">
        <f t="shared" si="1"/>
        <v>0.95571428571428563</v>
      </c>
      <c r="R17" s="126">
        <f t="shared" si="5"/>
        <v>0.47785714285714281</v>
      </c>
      <c r="S17" s="126">
        <f t="shared" si="6"/>
        <v>1.4335714285714285</v>
      </c>
      <c r="U17" s="127">
        <f t="shared" si="2"/>
        <v>4</v>
      </c>
      <c r="V17" s="127">
        <f t="shared" si="9"/>
        <v>1</v>
      </c>
      <c r="W17" s="127">
        <v>17</v>
      </c>
      <c r="X17" s="127">
        <v>3</v>
      </c>
      <c r="Y17" s="127">
        <f t="shared" si="10"/>
        <v>25</v>
      </c>
    </row>
    <row r="18" spans="1:25" ht="30" customHeight="1">
      <c r="A18" s="12" t="s">
        <v>243</v>
      </c>
      <c r="B18" s="1" t="s">
        <v>117</v>
      </c>
      <c r="C18" s="34">
        <f t="shared" si="3"/>
        <v>1.5833333333333333</v>
      </c>
      <c r="D18" s="13">
        <f>ROUND(AVERAGE(I18:K18,N18:O18),2)</f>
        <v>1.9</v>
      </c>
      <c r="E18" s="14">
        <f t="shared" si="0"/>
        <v>3.0083333333333329</v>
      </c>
      <c r="F18" s="109">
        <v>38</v>
      </c>
      <c r="G18" s="110"/>
      <c r="I18" s="128">
        <v>1.57</v>
      </c>
      <c r="J18" s="128">
        <v>1.75</v>
      </c>
      <c r="K18" s="128">
        <v>1.75</v>
      </c>
      <c r="L18" s="128"/>
      <c r="M18" s="125">
        <v>3.2</v>
      </c>
      <c r="N18" s="128">
        <v>1.95</v>
      </c>
      <c r="O18" s="128">
        <v>2.5</v>
      </c>
      <c r="Q18" s="126">
        <f>AVERAGE(I18:K18,N18:O18)</f>
        <v>1.9039999999999999</v>
      </c>
      <c r="R18" s="126">
        <f t="shared" si="5"/>
        <v>0.95199999999999996</v>
      </c>
      <c r="S18" s="126">
        <f t="shared" si="6"/>
        <v>2.8559999999999999</v>
      </c>
      <c r="U18" s="127">
        <f t="shared" si="2"/>
        <v>3</v>
      </c>
      <c r="V18" s="127">
        <f t="shared" si="9"/>
        <v>1</v>
      </c>
      <c r="W18" s="127">
        <v>0</v>
      </c>
      <c r="X18" s="127">
        <v>3</v>
      </c>
      <c r="Y18" s="127">
        <f t="shared" si="10"/>
        <v>7</v>
      </c>
    </row>
    <row r="19" spans="1:25" ht="30" customHeight="1">
      <c r="A19" s="12" t="s">
        <v>244</v>
      </c>
      <c r="B19" s="1" t="s">
        <v>117</v>
      </c>
      <c r="C19" s="34">
        <f t="shared" si="3"/>
        <v>1</v>
      </c>
      <c r="D19" s="13">
        <f>ROUND(AVERAGE(I19:L19,N19:O19),2)</f>
        <v>2.2400000000000002</v>
      </c>
      <c r="E19" s="14">
        <f t="shared" si="0"/>
        <v>2.2400000000000002</v>
      </c>
      <c r="F19" s="109">
        <v>24</v>
      </c>
      <c r="G19" s="110"/>
      <c r="I19" s="128">
        <v>3.02</v>
      </c>
      <c r="J19" s="128">
        <v>2.2000000000000002</v>
      </c>
      <c r="K19" s="128">
        <v>1.72</v>
      </c>
      <c r="L19" s="128">
        <v>2.29</v>
      </c>
      <c r="M19" s="125">
        <v>3.7</v>
      </c>
      <c r="N19" s="128">
        <v>1.4</v>
      </c>
      <c r="O19" s="128">
        <v>2.79</v>
      </c>
      <c r="Q19" s="126">
        <f t="shared" si="1"/>
        <v>2.4457142857142857</v>
      </c>
      <c r="R19" s="126">
        <f t="shared" si="5"/>
        <v>1.2228571428571429</v>
      </c>
      <c r="S19" s="126">
        <f t="shared" si="6"/>
        <v>3.6685714285714286</v>
      </c>
      <c r="U19" s="127">
        <f t="shared" si="2"/>
        <v>4</v>
      </c>
      <c r="V19" s="127">
        <f t="shared" si="9"/>
        <v>1</v>
      </c>
      <c r="W19" s="127">
        <v>26</v>
      </c>
      <c r="X19" s="127">
        <v>3</v>
      </c>
      <c r="Y19" s="127">
        <f t="shared" si="10"/>
        <v>34</v>
      </c>
    </row>
    <row r="20" spans="1:25" ht="30" customHeight="1">
      <c r="A20" s="12" t="s">
        <v>157</v>
      </c>
      <c r="B20" s="1" t="s">
        <v>233</v>
      </c>
      <c r="C20" s="34">
        <f t="shared" si="3"/>
        <v>0.16666666666666666</v>
      </c>
      <c r="D20" s="13">
        <f t="shared" si="4"/>
        <v>64.17</v>
      </c>
      <c r="E20" s="14">
        <f t="shared" si="0"/>
        <v>10.695</v>
      </c>
      <c r="F20" s="109">
        <v>4</v>
      </c>
      <c r="G20" s="110"/>
      <c r="I20" s="128">
        <v>55.71</v>
      </c>
      <c r="J20" s="128"/>
      <c r="K20" s="128"/>
      <c r="L20" s="128"/>
      <c r="M20" s="128">
        <v>78.5</v>
      </c>
      <c r="N20" s="128"/>
      <c r="O20" s="128">
        <v>58.31</v>
      </c>
      <c r="Q20" s="126">
        <f t="shared" si="1"/>
        <v>64.173333333333332</v>
      </c>
      <c r="R20" s="126">
        <f t="shared" si="5"/>
        <v>32.086666666666666</v>
      </c>
      <c r="S20" s="126">
        <f t="shared" si="6"/>
        <v>96.259999999999991</v>
      </c>
      <c r="U20" s="127">
        <f t="shared" si="2"/>
        <v>1</v>
      </c>
      <c r="V20" s="127">
        <f t="shared" si="9"/>
        <v>1</v>
      </c>
      <c r="W20" s="127">
        <v>0</v>
      </c>
      <c r="X20" s="127">
        <v>3</v>
      </c>
      <c r="Y20" s="127">
        <f t="shared" si="10"/>
        <v>5</v>
      </c>
    </row>
    <row r="21" spans="1:25" ht="30" customHeight="1">
      <c r="A21" s="12" t="s">
        <v>158</v>
      </c>
      <c r="B21" s="1" t="s">
        <v>226</v>
      </c>
      <c r="C21" s="34">
        <f t="shared" si="3"/>
        <v>1.1666666666666667</v>
      </c>
      <c r="D21" s="13">
        <f t="shared" si="4"/>
        <v>30.25</v>
      </c>
      <c r="E21" s="14">
        <f t="shared" si="0"/>
        <v>35.291666666666671</v>
      </c>
      <c r="F21" s="109">
        <v>28</v>
      </c>
      <c r="G21" s="110"/>
      <c r="I21" s="128"/>
      <c r="J21" s="128"/>
      <c r="K21" s="128">
        <v>26.8</v>
      </c>
      <c r="L21" s="128">
        <v>26.08</v>
      </c>
      <c r="M21" s="128">
        <v>32</v>
      </c>
      <c r="N21" s="128"/>
      <c r="O21" s="128">
        <v>36.130000000000003</v>
      </c>
      <c r="Q21" s="126">
        <f t="shared" si="1"/>
        <v>30.252499999999998</v>
      </c>
      <c r="R21" s="126">
        <f t="shared" si="5"/>
        <v>15.126249999999999</v>
      </c>
      <c r="S21" s="126">
        <f t="shared" si="6"/>
        <v>45.378749999999997</v>
      </c>
      <c r="U21" s="127">
        <f t="shared" si="2"/>
        <v>2</v>
      </c>
      <c r="V21" s="127">
        <f t="shared" si="9"/>
        <v>1</v>
      </c>
      <c r="W21" s="127">
        <v>0</v>
      </c>
      <c r="X21" s="127">
        <v>3</v>
      </c>
      <c r="Y21" s="127">
        <f t="shared" si="10"/>
        <v>6</v>
      </c>
    </row>
    <row r="22" spans="1:25" ht="30" customHeight="1">
      <c r="A22" s="12" t="s">
        <v>123</v>
      </c>
      <c r="B22" s="1" t="s">
        <v>233</v>
      </c>
      <c r="C22" s="34">
        <f t="shared" si="3"/>
        <v>8.3333333333333329E-2</v>
      </c>
      <c r="D22" s="13">
        <f t="shared" si="4"/>
        <v>17.190000000000001</v>
      </c>
      <c r="E22" s="14">
        <f t="shared" si="0"/>
        <v>1.4325000000000001</v>
      </c>
      <c r="F22" s="109">
        <v>2</v>
      </c>
      <c r="G22" s="110"/>
      <c r="I22" s="128"/>
      <c r="J22" s="128"/>
      <c r="K22" s="128"/>
      <c r="L22" s="128"/>
      <c r="M22" s="128">
        <v>18.5</v>
      </c>
      <c r="N22" s="128">
        <v>15</v>
      </c>
      <c r="O22" s="128">
        <v>18.079999999999998</v>
      </c>
      <c r="Q22" s="126">
        <f t="shared" si="1"/>
        <v>17.193333333333332</v>
      </c>
      <c r="R22" s="126">
        <f t="shared" si="5"/>
        <v>8.5966666666666658</v>
      </c>
      <c r="S22" s="126">
        <f t="shared" si="6"/>
        <v>25.79</v>
      </c>
      <c r="U22" s="127">
        <f t="shared" si="2"/>
        <v>0</v>
      </c>
      <c r="V22" s="127">
        <f t="shared" si="9"/>
        <v>1</v>
      </c>
      <c r="W22" s="127">
        <v>5</v>
      </c>
      <c r="X22" s="127">
        <v>3</v>
      </c>
      <c r="Y22" s="127">
        <f t="shared" si="10"/>
        <v>9</v>
      </c>
    </row>
    <row r="23" spans="1:25" ht="30" customHeight="1">
      <c r="A23" s="12" t="s">
        <v>245</v>
      </c>
      <c r="B23" s="1" t="s">
        <v>226</v>
      </c>
      <c r="C23" s="34">
        <f t="shared" si="3"/>
        <v>2.1666666666666665</v>
      </c>
      <c r="D23" s="13">
        <f>ROUND(AVERAGE(N23:O23),2)</f>
        <v>52.72</v>
      </c>
      <c r="E23" s="14">
        <f t="shared" si="0"/>
        <v>114.22666666666666</v>
      </c>
      <c r="F23" s="109">
        <v>52</v>
      </c>
      <c r="G23" s="110"/>
      <c r="I23" s="125">
        <v>10.210000000000001</v>
      </c>
      <c r="J23" s="128"/>
      <c r="K23" s="128"/>
      <c r="L23" s="128"/>
      <c r="M23" s="125">
        <v>138.5</v>
      </c>
      <c r="N23" s="128">
        <v>39.5</v>
      </c>
      <c r="O23" s="128">
        <v>65.930000000000007</v>
      </c>
      <c r="Q23" s="126">
        <f>AVERAGE(N23:O23)</f>
        <v>52.715000000000003</v>
      </c>
      <c r="R23" s="126">
        <f t="shared" si="5"/>
        <v>26.357500000000002</v>
      </c>
      <c r="S23" s="126">
        <f t="shared" si="6"/>
        <v>79.072500000000005</v>
      </c>
      <c r="U23" s="127">
        <f t="shared" si="2"/>
        <v>1</v>
      </c>
      <c r="V23" s="127">
        <f t="shared" si="9"/>
        <v>1</v>
      </c>
      <c r="W23" s="127">
        <v>8</v>
      </c>
      <c r="X23" s="127">
        <v>3</v>
      </c>
      <c r="Y23" s="127">
        <f t="shared" si="10"/>
        <v>13</v>
      </c>
    </row>
    <row r="24" spans="1:25" ht="30" customHeight="1">
      <c r="A24" s="12" t="s">
        <v>124</v>
      </c>
      <c r="B24" s="1" t="s">
        <v>255</v>
      </c>
      <c r="C24" s="34">
        <f t="shared" si="3"/>
        <v>0.33333333333333331</v>
      </c>
      <c r="D24" s="13">
        <f>ROUND(AVERAGE(I24:J24,L24:O24),2)</f>
        <v>5.07</v>
      </c>
      <c r="E24" s="14">
        <f t="shared" si="0"/>
        <v>1.69</v>
      </c>
      <c r="F24" s="109">
        <v>8</v>
      </c>
      <c r="G24" s="110"/>
      <c r="I24" s="128">
        <v>6.32</v>
      </c>
      <c r="J24" s="128">
        <v>6</v>
      </c>
      <c r="K24" s="125">
        <v>2.1</v>
      </c>
      <c r="L24" s="128">
        <v>6.51</v>
      </c>
      <c r="M24" s="128">
        <v>3.7</v>
      </c>
      <c r="N24" s="128">
        <v>3.09</v>
      </c>
      <c r="O24" s="128">
        <v>4.79</v>
      </c>
      <c r="Q24" s="126">
        <f t="shared" si="1"/>
        <v>4.6442857142857141</v>
      </c>
      <c r="R24" s="126">
        <f t="shared" si="5"/>
        <v>2.3221428571428571</v>
      </c>
      <c r="S24" s="126">
        <f t="shared" si="6"/>
        <v>6.9664285714285707</v>
      </c>
      <c r="U24" s="127">
        <f t="shared" si="2"/>
        <v>4</v>
      </c>
      <c r="V24" s="127">
        <f t="shared" si="9"/>
        <v>1</v>
      </c>
      <c r="W24" s="127">
        <v>37</v>
      </c>
      <c r="X24" s="127">
        <v>3</v>
      </c>
      <c r="Y24" s="127">
        <f t="shared" si="10"/>
        <v>45</v>
      </c>
    </row>
    <row r="25" spans="1:25" ht="30" customHeight="1">
      <c r="A25" s="12" t="s">
        <v>246</v>
      </c>
      <c r="B25" s="1" t="s">
        <v>117</v>
      </c>
      <c r="C25" s="34">
        <f t="shared" si="3"/>
        <v>1.5833333333333333</v>
      </c>
      <c r="D25" s="13">
        <f>ROUND(AVERAGE(I25:L25,N25:O25),2)</f>
        <v>4.0199999999999996</v>
      </c>
      <c r="E25" s="14">
        <f t="shared" si="0"/>
        <v>6.3649999999999993</v>
      </c>
      <c r="F25" s="109">
        <v>38</v>
      </c>
      <c r="G25" s="110"/>
      <c r="I25" s="128">
        <v>3.67</v>
      </c>
      <c r="J25" s="128">
        <v>4.25</v>
      </c>
      <c r="K25" s="128">
        <v>3.08</v>
      </c>
      <c r="L25" s="128">
        <v>4.88</v>
      </c>
      <c r="M25" s="125">
        <v>8.6999999999999993</v>
      </c>
      <c r="N25" s="128">
        <v>3.7</v>
      </c>
      <c r="O25" s="128">
        <v>4.5599999999999996</v>
      </c>
      <c r="Q25" s="126">
        <f>AVERAGE(I25:L25,N25:O25)</f>
        <v>4.0233333333333325</v>
      </c>
      <c r="R25" s="126">
        <f t="shared" si="5"/>
        <v>2.0116666666666663</v>
      </c>
      <c r="S25" s="126">
        <f t="shared" si="6"/>
        <v>6.0349999999999984</v>
      </c>
      <c r="U25" s="127">
        <f t="shared" si="2"/>
        <v>4</v>
      </c>
      <c r="V25" s="127">
        <f t="shared" si="9"/>
        <v>1</v>
      </c>
      <c r="W25" s="127">
        <v>38</v>
      </c>
      <c r="X25" s="127">
        <v>3</v>
      </c>
      <c r="Y25" s="127">
        <f t="shared" si="10"/>
        <v>46</v>
      </c>
    </row>
    <row r="26" spans="1:25" ht="30" customHeight="1">
      <c r="A26" s="12" t="s">
        <v>247</v>
      </c>
      <c r="B26" s="1" t="s">
        <v>256</v>
      </c>
      <c r="C26" s="34">
        <f t="shared" si="3"/>
        <v>2</v>
      </c>
      <c r="D26" s="13">
        <f>ROUND(AVERAGE(I26:O26),2)</f>
        <v>75.48</v>
      </c>
      <c r="E26" s="14">
        <f t="shared" si="0"/>
        <v>150.96</v>
      </c>
      <c r="F26" s="109">
        <v>48</v>
      </c>
      <c r="G26" s="110"/>
      <c r="I26" s="128">
        <v>60.36</v>
      </c>
      <c r="J26" s="128"/>
      <c r="K26" s="128"/>
      <c r="L26" s="128"/>
      <c r="M26" s="128">
        <v>87.5</v>
      </c>
      <c r="N26" s="128">
        <v>68</v>
      </c>
      <c r="O26" s="128">
        <v>86.06</v>
      </c>
      <c r="Q26" s="126">
        <f t="shared" si="1"/>
        <v>75.48</v>
      </c>
      <c r="R26" s="126">
        <f t="shared" si="5"/>
        <v>37.74</v>
      </c>
      <c r="S26" s="126">
        <f t="shared" si="6"/>
        <v>113.22</v>
      </c>
      <c r="U26" s="127">
        <f t="shared" si="2"/>
        <v>1</v>
      </c>
      <c r="V26" s="127">
        <f t="shared" si="9"/>
        <v>1</v>
      </c>
      <c r="W26" s="127">
        <v>41</v>
      </c>
      <c r="X26" s="127">
        <v>3</v>
      </c>
      <c r="Y26" s="127">
        <f t="shared" si="10"/>
        <v>46</v>
      </c>
    </row>
    <row r="27" spans="1:25" ht="30" customHeight="1">
      <c r="A27" s="12" t="s">
        <v>306</v>
      </c>
      <c r="B27" s="1" t="s">
        <v>257</v>
      </c>
      <c r="C27" s="34">
        <f t="shared" si="3"/>
        <v>10.166666666666666</v>
      </c>
      <c r="D27" s="13">
        <f>ROUND(AVERAGE(K27:L27,N27:O27),2)</f>
        <v>13.3</v>
      </c>
      <c r="E27" s="14">
        <f t="shared" si="0"/>
        <v>135.21666666666667</v>
      </c>
      <c r="F27" s="109">
        <v>244</v>
      </c>
      <c r="G27" s="110"/>
      <c r="I27" s="128"/>
      <c r="J27" s="128"/>
      <c r="K27" s="128">
        <v>13.95</v>
      </c>
      <c r="L27" s="128">
        <v>11.87</v>
      </c>
      <c r="M27" s="125">
        <v>32</v>
      </c>
      <c r="N27" s="128">
        <v>12.99</v>
      </c>
      <c r="O27" s="128">
        <v>14.39</v>
      </c>
      <c r="Q27" s="126">
        <f>AVERAGE(K27:L27,N27:O27)</f>
        <v>13.3</v>
      </c>
      <c r="R27" s="126">
        <f t="shared" si="5"/>
        <v>6.65</v>
      </c>
      <c r="S27" s="126">
        <f t="shared" si="6"/>
        <v>19.950000000000003</v>
      </c>
      <c r="U27" s="127">
        <f t="shared" si="2"/>
        <v>2</v>
      </c>
      <c r="V27" s="127">
        <f t="shared" si="9"/>
        <v>1</v>
      </c>
      <c r="W27" s="127">
        <v>27</v>
      </c>
      <c r="X27" s="127">
        <v>3</v>
      </c>
      <c r="Y27" s="127">
        <f t="shared" si="10"/>
        <v>33</v>
      </c>
    </row>
    <row r="28" spans="1:25" ht="30" customHeight="1">
      <c r="A28" s="12" t="s">
        <v>159</v>
      </c>
      <c r="B28" s="1" t="s">
        <v>258</v>
      </c>
      <c r="C28" s="34">
        <f t="shared" si="3"/>
        <v>8.3333333333333329E-2</v>
      </c>
      <c r="D28" s="13">
        <f>ROUND(AVERAGE(I28,O28),2)</f>
        <v>11.72</v>
      </c>
      <c r="E28" s="14">
        <f t="shared" si="0"/>
        <v>0.97666666666666668</v>
      </c>
      <c r="F28" s="109">
        <v>2</v>
      </c>
      <c r="G28" s="110"/>
      <c r="I28" s="128">
        <v>9.2100000000000009</v>
      </c>
      <c r="J28" s="128"/>
      <c r="K28" s="128"/>
      <c r="L28" s="128"/>
      <c r="M28" s="125">
        <v>28.7</v>
      </c>
      <c r="N28" s="128"/>
      <c r="O28" s="128">
        <v>14.22</v>
      </c>
      <c r="Q28" s="126">
        <f>AVERAGE(I28,M28,O28)</f>
        <v>17.376666666666665</v>
      </c>
      <c r="R28" s="126">
        <f t="shared" si="5"/>
        <v>8.6883333333333326</v>
      </c>
      <c r="S28" s="126">
        <f t="shared" si="6"/>
        <v>26.064999999999998</v>
      </c>
      <c r="U28" s="127">
        <f t="shared" si="2"/>
        <v>1</v>
      </c>
      <c r="V28" s="127">
        <f t="shared" si="9"/>
        <v>1</v>
      </c>
      <c r="W28" s="127">
        <v>0</v>
      </c>
      <c r="X28" s="127">
        <v>3</v>
      </c>
      <c r="Y28" s="127">
        <f t="shared" si="10"/>
        <v>5</v>
      </c>
    </row>
    <row r="29" spans="1:25" ht="30" customHeight="1">
      <c r="A29" s="12" t="s">
        <v>248</v>
      </c>
      <c r="B29" s="1" t="s">
        <v>258</v>
      </c>
      <c r="C29" s="34">
        <f t="shared" si="3"/>
        <v>8.3333333333333329E-2</v>
      </c>
      <c r="D29" s="13">
        <f>ROUND(AVERAGE(I29,O29),2)</f>
        <v>11.67</v>
      </c>
      <c r="E29" s="14">
        <f t="shared" si="0"/>
        <v>0.97249999999999992</v>
      </c>
      <c r="F29" s="109">
        <v>2</v>
      </c>
      <c r="G29" s="110"/>
      <c r="I29" s="128">
        <v>9.2100000000000009</v>
      </c>
      <c r="J29" s="128"/>
      <c r="K29" s="128"/>
      <c r="L29" s="128"/>
      <c r="M29" s="125">
        <v>24.8</v>
      </c>
      <c r="N29" s="128"/>
      <c r="O29" s="128">
        <v>14.13</v>
      </c>
      <c r="Q29" s="126">
        <f>AVERAGE(I29,M29,O29)</f>
        <v>16.04666666666667</v>
      </c>
      <c r="R29" s="126">
        <f t="shared" si="5"/>
        <v>8.0233333333333352</v>
      </c>
      <c r="S29" s="126">
        <f t="shared" si="6"/>
        <v>24.070000000000007</v>
      </c>
      <c r="U29" s="127">
        <f t="shared" si="2"/>
        <v>1</v>
      </c>
      <c r="V29" s="127">
        <f t="shared" si="9"/>
        <v>1</v>
      </c>
      <c r="W29" s="127">
        <v>0</v>
      </c>
      <c r="X29" s="127">
        <v>3</v>
      </c>
      <c r="Y29" s="127">
        <f t="shared" si="10"/>
        <v>5</v>
      </c>
    </row>
    <row r="30" spans="1:25" ht="30" customHeight="1">
      <c r="A30" s="12" t="s">
        <v>160</v>
      </c>
      <c r="B30" s="1" t="s">
        <v>117</v>
      </c>
      <c r="C30" s="34">
        <f t="shared" si="3"/>
        <v>60.833333333333336</v>
      </c>
      <c r="D30" s="13">
        <f>ROUND(AVERAGE(I30,K30,L30,N30:O30),2)</f>
        <v>1.79</v>
      </c>
      <c r="E30" s="14">
        <f t="shared" si="0"/>
        <v>108.89166666666668</v>
      </c>
      <c r="F30" s="109">
        <v>1460</v>
      </c>
      <c r="G30" s="110"/>
      <c r="I30" s="128">
        <v>1.79</v>
      </c>
      <c r="J30" s="125">
        <v>4</v>
      </c>
      <c r="K30" s="128">
        <v>2.11</v>
      </c>
      <c r="L30" s="128">
        <v>1.6</v>
      </c>
      <c r="M30" s="125">
        <v>0.57999999999999996</v>
      </c>
      <c r="N30" s="128">
        <v>1.35</v>
      </c>
      <c r="O30" s="128">
        <v>2.11</v>
      </c>
      <c r="Q30" s="126">
        <f>AVERAGE(I30,K30,L30,N30:O30)</f>
        <v>1.7919999999999998</v>
      </c>
      <c r="R30" s="126">
        <f t="shared" si="5"/>
        <v>0.89599999999999991</v>
      </c>
      <c r="S30" s="126">
        <f t="shared" si="6"/>
        <v>2.6879999999999997</v>
      </c>
      <c r="U30" s="127">
        <f t="shared" si="2"/>
        <v>4</v>
      </c>
      <c r="V30" s="127">
        <f t="shared" si="9"/>
        <v>1</v>
      </c>
      <c r="W30" s="127">
        <v>38</v>
      </c>
      <c r="X30" s="127">
        <v>3</v>
      </c>
      <c r="Y30" s="127">
        <f t="shared" si="10"/>
        <v>46</v>
      </c>
    </row>
    <row r="31" spans="1:25" ht="30" customHeight="1">
      <c r="A31" s="12" t="s">
        <v>161</v>
      </c>
      <c r="B31" s="1" t="s">
        <v>233</v>
      </c>
      <c r="C31" s="34">
        <f t="shared" si="3"/>
        <v>0.16666666666666666</v>
      </c>
      <c r="D31" s="13">
        <f>ROUND(AVERAGE(M31:O31),2)</f>
        <v>55.72</v>
      </c>
      <c r="E31" s="14">
        <f t="shared" si="0"/>
        <v>9.2866666666666653</v>
      </c>
      <c r="F31" s="109">
        <v>4</v>
      </c>
      <c r="G31" s="110"/>
      <c r="I31" s="128"/>
      <c r="J31" s="128"/>
      <c r="K31" s="125">
        <v>21.12</v>
      </c>
      <c r="L31" s="128"/>
      <c r="M31" s="128">
        <v>65.900000000000006</v>
      </c>
      <c r="N31" s="128">
        <v>41.78</v>
      </c>
      <c r="O31" s="128">
        <v>59.47</v>
      </c>
      <c r="Q31" s="126">
        <f>AVERAGE(M31:O31)</f>
        <v>55.716666666666669</v>
      </c>
      <c r="R31" s="126">
        <f t="shared" si="5"/>
        <v>27.858333333333334</v>
      </c>
      <c r="S31" s="126">
        <f t="shared" si="6"/>
        <v>83.575000000000003</v>
      </c>
      <c r="U31" s="127">
        <f t="shared" si="2"/>
        <v>1</v>
      </c>
      <c r="V31" s="127">
        <f t="shared" si="9"/>
        <v>1</v>
      </c>
      <c r="W31" s="127">
        <v>12</v>
      </c>
      <c r="X31" s="127">
        <v>3</v>
      </c>
      <c r="Y31" s="127">
        <f t="shared" si="10"/>
        <v>17</v>
      </c>
    </row>
    <row r="32" spans="1:25" ht="30" customHeight="1">
      <c r="A32" s="108" t="s">
        <v>317</v>
      </c>
      <c r="B32" s="105" t="s">
        <v>117</v>
      </c>
      <c r="C32" s="34">
        <f t="shared" si="3"/>
        <v>1</v>
      </c>
      <c r="D32" s="13">
        <f>ROUND(AVERAGE(I32:O32),2)</f>
        <v>5.46</v>
      </c>
      <c r="E32" s="14">
        <f t="shared" si="0"/>
        <v>5.46</v>
      </c>
      <c r="F32" s="109">
        <v>24</v>
      </c>
      <c r="G32" s="110"/>
      <c r="I32" s="128"/>
      <c r="J32" s="128"/>
      <c r="K32" s="128"/>
      <c r="L32" s="128"/>
      <c r="M32" s="128">
        <v>5.9</v>
      </c>
      <c r="N32" s="128"/>
      <c r="O32" s="128">
        <v>5.0199999999999996</v>
      </c>
      <c r="Q32" s="126">
        <f t="shared" si="1"/>
        <v>5.46</v>
      </c>
      <c r="R32" s="126">
        <f t="shared" si="5"/>
        <v>2.73</v>
      </c>
      <c r="S32" s="126">
        <f t="shared" si="6"/>
        <v>8.19</v>
      </c>
      <c r="U32" s="127">
        <f t="shared" si="2"/>
        <v>0</v>
      </c>
      <c r="V32" s="127">
        <f t="shared" si="9"/>
        <v>1</v>
      </c>
      <c r="W32" s="127">
        <v>0</v>
      </c>
      <c r="X32" s="127">
        <v>3</v>
      </c>
      <c r="Y32" s="127">
        <f t="shared" si="10"/>
        <v>4</v>
      </c>
    </row>
    <row r="33" spans="1:25" ht="30" customHeight="1">
      <c r="A33" s="12" t="s">
        <v>162</v>
      </c>
      <c r="B33" s="1" t="s">
        <v>259</v>
      </c>
      <c r="C33" s="34">
        <f t="shared" si="3"/>
        <v>1.0833333333333333</v>
      </c>
      <c r="D33" s="13">
        <f>ROUND(AVERAGE(J33:O33),2)</f>
        <v>11.33</v>
      </c>
      <c r="E33" s="14">
        <f t="shared" si="0"/>
        <v>12.274166666666666</v>
      </c>
      <c r="F33" s="109">
        <v>26</v>
      </c>
      <c r="G33" s="110"/>
      <c r="I33" s="125">
        <v>4.2699999999999996</v>
      </c>
      <c r="J33" s="128">
        <v>15</v>
      </c>
      <c r="K33" s="128">
        <v>7.1</v>
      </c>
      <c r="L33" s="128">
        <v>13.94</v>
      </c>
      <c r="M33" s="128">
        <v>11.7</v>
      </c>
      <c r="N33" s="128">
        <v>8.1999999999999993</v>
      </c>
      <c r="O33" s="128">
        <v>12.03</v>
      </c>
      <c r="Q33" s="126">
        <f t="shared" si="1"/>
        <v>10.319999999999999</v>
      </c>
      <c r="R33" s="126">
        <f t="shared" si="5"/>
        <v>5.1599999999999993</v>
      </c>
      <c r="S33" s="126">
        <f t="shared" si="6"/>
        <v>15.479999999999997</v>
      </c>
      <c r="U33" s="127">
        <f t="shared" si="2"/>
        <v>4</v>
      </c>
      <c r="V33" s="127">
        <f t="shared" si="9"/>
        <v>1</v>
      </c>
      <c r="W33" s="127">
        <v>40</v>
      </c>
      <c r="X33" s="127">
        <v>3</v>
      </c>
      <c r="Y33" s="127">
        <f t="shared" si="10"/>
        <v>48</v>
      </c>
    </row>
    <row r="34" spans="1:25" ht="30" customHeight="1">
      <c r="A34" s="12" t="s">
        <v>249</v>
      </c>
      <c r="B34" s="1" t="s">
        <v>260</v>
      </c>
      <c r="C34" s="34">
        <f t="shared" si="3"/>
        <v>1.4166666666666667</v>
      </c>
      <c r="D34" s="13">
        <f>ROUND(AVERAGE(I34:O34),2)</f>
        <v>9.8000000000000007</v>
      </c>
      <c r="E34" s="14">
        <f t="shared" si="0"/>
        <v>13.883333333333335</v>
      </c>
      <c r="F34" s="109">
        <v>34</v>
      </c>
      <c r="G34" s="110"/>
      <c r="I34" s="128">
        <v>7.43</v>
      </c>
      <c r="J34" s="128">
        <f>25.92/2</f>
        <v>12.96</v>
      </c>
      <c r="K34" s="128"/>
      <c r="L34" s="128">
        <v>9.69</v>
      </c>
      <c r="M34" s="128">
        <v>9.6999999999999993</v>
      </c>
      <c r="N34" s="128">
        <v>7.69</v>
      </c>
      <c r="O34" s="128">
        <v>11.31</v>
      </c>
      <c r="Q34" s="126">
        <f t="shared" si="1"/>
        <v>9.7966666666666669</v>
      </c>
      <c r="R34" s="126">
        <f t="shared" si="5"/>
        <v>4.8983333333333334</v>
      </c>
      <c r="S34" s="126">
        <f t="shared" si="6"/>
        <v>14.695</v>
      </c>
      <c r="U34" s="127">
        <f t="shared" si="2"/>
        <v>3</v>
      </c>
      <c r="V34" s="127">
        <f t="shared" si="9"/>
        <v>1</v>
      </c>
      <c r="W34" s="127">
        <v>9</v>
      </c>
      <c r="X34" s="127">
        <v>3</v>
      </c>
      <c r="Y34" s="127">
        <f t="shared" si="10"/>
        <v>16</v>
      </c>
    </row>
    <row r="35" spans="1:25" ht="30" customHeight="1">
      <c r="A35" s="12" t="s">
        <v>163</v>
      </c>
      <c r="B35" s="1" t="s">
        <v>226</v>
      </c>
      <c r="C35" s="34">
        <f t="shared" si="3"/>
        <v>0.16666666666666666</v>
      </c>
      <c r="D35" s="13">
        <f>ROUND(AVERAGE(I35:O35),2)</f>
        <v>24.02</v>
      </c>
      <c r="E35" s="14">
        <f t="shared" si="0"/>
        <v>4.003333333333333</v>
      </c>
      <c r="F35" s="109">
        <v>4</v>
      </c>
      <c r="G35" s="110"/>
      <c r="I35" s="128">
        <v>26.88</v>
      </c>
      <c r="J35" s="128"/>
      <c r="K35" s="128">
        <v>17.329999999999998</v>
      </c>
      <c r="L35" s="128">
        <v>34.130000000000003</v>
      </c>
      <c r="M35" s="128">
        <v>28.9</v>
      </c>
      <c r="N35" s="128">
        <v>16.350000000000001</v>
      </c>
      <c r="O35" s="128">
        <v>20.51</v>
      </c>
      <c r="Q35" s="126">
        <f t="shared" si="1"/>
        <v>24.016666666666666</v>
      </c>
      <c r="R35" s="126">
        <f t="shared" si="5"/>
        <v>12.008333333333333</v>
      </c>
      <c r="S35" s="126">
        <f t="shared" si="6"/>
        <v>36.024999999999999</v>
      </c>
      <c r="U35" s="127">
        <f t="shared" si="2"/>
        <v>3</v>
      </c>
      <c r="V35" s="127">
        <f t="shared" si="9"/>
        <v>1</v>
      </c>
      <c r="W35" s="127">
        <v>17</v>
      </c>
      <c r="X35" s="127">
        <v>3</v>
      </c>
      <c r="Y35" s="127">
        <f t="shared" si="10"/>
        <v>24</v>
      </c>
    </row>
    <row r="36" spans="1:25" ht="30" customHeight="1">
      <c r="A36" s="12" t="s">
        <v>320</v>
      </c>
      <c r="B36" s="1" t="s">
        <v>261</v>
      </c>
      <c r="C36" s="34">
        <f t="shared" si="3"/>
        <v>1.8333333333333333</v>
      </c>
      <c r="D36" s="13">
        <f>ROUND(AVERAGE(I36:O36),2)</f>
        <v>15.44</v>
      </c>
      <c r="E36" s="14">
        <f t="shared" si="0"/>
        <v>28.306666666666665</v>
      </c>
      <c r="F36" s="109">
        <v>44</v>
      </c>
      <c r="G36" s="110"/>
      <c r="I36" s="128">
        <v>12.93</v>
      </c>
      <c r="J36" s="128">
        <v>15</v>
      </c>
      <c r="K36" s="128">
        <v>15.12</v>
      </c>
      <c r="L36" s="128">
        <v>14.78</v>
      </c>
      <c r="M36" s="128">
        <v>19.5</v>
      </c>
      <c r="N36" s="128">
        <v>14.48</v>
      </c>
      <c r="O36" s="128">
        <v>16.3</v>
      </c>
      <c r="Q36" s="126">
        <f t="shared" si="1"/>
        <v>15.444285714285714</v>
      </c>
      <c r="R36" s="126">
        <f t="shared" si="5"/>
        <v>7.722142857142857</v>
      </c>
      <c r="S36" s="126">
        <f t="shared" si="6"/>
        <v>23.166428571428572</v>
      </c>
      <c r="U36" s="127">
        <f t="shared" si="2"/>
        <v>4</v>
      </c>
      <c r="V36" s="127">
        <f t="shared" si="9"/>
        <v>1</v>
      </c>
      <c r="W36" s="127">
        <v>7</v>
      </c>
      <c r="X36" s="127">
        <v>3</v>
      </c>
      <c r="Y36" s="127">
        <f t="shared" si="10"/>
        <v>15</v>
      </c>
    </row>
    <row r="37" spans="1:25" ht="30" customHeight="1">
      <c r="A37" s="12" t="s">
        <v>321</v>
      </c>
      <c r="B37" s="106" t="s">
        <v>261</v>
      </c>
      <c r="C37" s="34">
        <f t="shared" si="3"/>
        <v>0.5</v>
      </c>
      <c r="D37" s="13">
        <f>ROUND(AVERAGE(I37:O37),2)</f>
        <v>18.38</v>
      </c>
      <c r="E37" s="14">
        <f t="shared" ref="E37" si="11">C37*D37</f>
        <v>9.19</v>
      </c>
      <c r="F37" s="109">
        <v>12</v>
      </c>
      <c r="G37" s="110"/>
      <c r="I37" s="128"/>
      <c r="J37" s="128"/>
      <c r="K37" s="128"/>
      <c r="L37" s="128"/>
      <c r="M37" s="128">
        <v>22.5</v>
      </c>
      <c r="N37" s="128">
        <v>12.9</v>
      </c>
      <c r="O37" s="128">
        <v>19.73</v>
      </c>
      <c r="Q37" s="126">
        <f t="shared" si="1"/>
        <v>18.376666666666665</v>
      </c>
      <c r="R37" s="126">
        <f t="shared" si="5"/>
        <v>9.1883333333333326</v>
      </c>
      <c r="S37" s="126">
        <f t="shared" si="6"/>
        <v>27.564999999999998</v>
      </c>
      <c r="U37" s="127">
        <f t="shared" si="2"/>
        <v>0</v>
      </c>
      <c r="V37" s="127">
        <f t="shared" si="9"/>
        <v>1</v>
      </c>
      <c r="W37" s="127">
        <v>41</v>
      </c>
      <c r="X37" s="127">
        <v>3</v>
      </c>
      <c r="Y37" s="127">
        <f t="shared" si="10"/>
        <v>45</v>
      </c>
    </row>
    <row r="38" spans="1:25" ht="30" customHeight="1">
      <c r="A38" s="12" t="s">
        <v>250</v>
      </c>
      <c r="B38" s="1" t="s">
        <v>261</v>
      </c>
      <c r="C38" s="34">
        <f t="shared" si="3"/>
        <v>1</v>
      </c>
      <c r="D38" s="13">
        <f>ROUND(AVERAGE(I38:O38),2)</f>
        <v>31.52</v>
      </c>
      <c r="E38" s="14">
        <f t="shared" si="0"/>
        <v>31.52</v>
      </c>
      <c r="F38" s="109">
        <v>24</v>
      </c>
      <c r="G38" s="110"/>
      <c r="I38" s="128">
        <v>24.09</v>
      </c>
      <c r="J38" s="128">
        <v>41</v>
      </c>
      <c r="K38" s="128">
        <v>18.84</v>
      </c>
      <c r="L38" s="128">
        <v>45.55</v>
      </c>
      <c r="M38" s="128">
        <v>38.9</v>
      </c>
      <c r="N38" s="128">
        <v>23.79</v>
      </c>
      <c r="O38" s="128">
        <v>28.5</v>
      </c>
      <c r="Q38" s="126">
        <f t="shared" si="1"/>
        <v>31.524285714285718</v>
      </c>
      <c r="R38" s="126">
        <f t="shared" si="5"/>
        <v>15.762142857142859</v>
      </c>
      <c r="S38" s="126">
        <f t="shared" si="6"/>
        <v>47.286428571428573</v>
      </c>
      <c r="U38" s="127">
        <f t="shared" si="2"/>
        <v>4</v>
      </c>
      <c r="V38" s="127">
        <f t="shared" si="9"/>
        <v>1</v>
      </c>
      <c r="W38" s="127">
        <v>10</v>
      </c>
      <c r="X38" s="127">
        <v>3</v>
      </c>
      <c r="Y38" s="127">
        <f t="shared" si="10"/>
        <v>18</v>
      </c>
    </row>
    <row r="39" spans="1:25" ht="30" customHeight="1">
      <c r="A39" s="12" t="s">
        <v>251</v>
      </c>
      <c r="B39" s="1" t="s">
        <v>262</v>
      </c>
      <c r="C39" s="34">
        <f t="shared" si="3"/>
        <v>1.8333333333333333</v>
      </c>
      <c r="D39" s="13">
        <f>ROUND(AVERAGE(K39,N39:O39),2)</f>
        <v>3.37</v>
      </c>
      <c r="E39" s="14">
        <f t="shared" si="0"/>
        <v>6.1783333333333337</v>
      </c>
      <c r="F39" s="109">
        <v>44</v>
      </c>
      <c r="G39" s="110"/>
      <c r="I39" s="128"/>
      <c r="J39" s="128"/>
      <c r="K39" s="128">
        <v>3.48</v>
      </c>
      <c r="L39" s="128"/>
      <c r="M39" s="125">
        <v>8.9</v>
      </c>
      <c r="N39" s="128">
        <v>2.94</v>
      </c>
      <c r="O39" s="128">
        <v>3.68</v>
      </c>
      <c r="Q39" s="126">
        <f>AVERAGE(K39,N39,O39)</f>
        <v>3.3666666666666667</v>
      </c>
      <c r="R39" s="126">
        <f t="shared" si="5"/>
        <v>1.6833333333333333</v>
      </c>
      <c r="S39" s="126">
        <f t="shared" si="6"/>
        <v>5.05</v>
      </c>
      <c r="U39" s="127">
        <f t="shared" si="2"/>
        <v>1</v>
      </c>
      <c r="V39" s="127">
        <f t="shared" si="9"/>
        <v>1</v>
      </c>
      <c r="W39" s="127">
        <v>44</v>
      </c>
      <c r="X39" s="127">
        <v>3</v>
      </c>
      <c r="Y39" s="127">
        <f t="shared" si="10"/>
        <v>49</v>
      </c>
    </row>
    <row r="40" spans="1:25" ht="30" customHeight="1">
      <c r="A40" s="12" t="s">
        <v>252</v>
      </c>
      <c r="B40" s="1" t="s">
        <v>117</v>
      </c>
      <c r="C40" s="34">
        <f t="shared" si="3"/>
        <v>1.1666666666666667</v>
      </c>
      <c r="D40" s="13">
        <f>ROUND(AVERAGE(K40,N40:O40),2)</f>
        <v>3.34</v>
      </c>
      <c r="E40" s="14">
        <f t="shared" si="0"/>
        <v>3.8966666666666669</v>
      </c>
      <c r="F40" s="109">
        <v>28</v>
      </c>
      <c r="G40" s="110"/>
      <c r="I40" s="128"/>
      <c r="J40" s="128"/>
      <c r="K40" s="128">
        <v>3.37</v>
      </c>
      <c r="L40" s="128"/>
      <c r="M40" s="125">
        <v>7.6</v>
      </c>
      <c r="N40" s="128">
        <v>2.82</v>
      </c>
      <c r="O40" s="128">
        <v>3.83</v>
      </c>
      <c r="Q40" s="126">
        <f>AVERAGE(K40,N40,O40)</f>
        <v>3.34</v>
      </c>
      <c r="R40" s="126">
        <f t="shared" si="5"/>
        <v>1.67</v>
      </c>
      <c r="S40" s="126">
        <f t="shared" si="6"/>
        <v>5.01</v>
      </c>
      <c r="U40" s="127">
        <f t="shared" si="2"/>
        <v>1</v>
      </c>
      <c r="V40" s="127">
        <f t="shared" si="9"/>
        <v>1</v>
      </c>
      <c r="W40" s="127">
        <v>7</v>
      </c>
      <c r="X40" s="127">
        <v>3</v>
      </c>
      <c r="Y40" s="127">
        <f t="shared" si="10"/>
        <v>12</v>
      </c>
    </row>
    <row r="41" spans="1:25" ht="30" customHeight="1">
      <c r="A41" s="12" t="s">
        <v>253</v>
      </c>
      <c r="B41" s="1" t="s">
        <v>263</v>
      </c>
      <c r="C41" s="34">
        <f t="shared" si="3"/>
        <v>0.33333333333333331</v>
      </c>
      <c r="D41" s="13">
        <f>ROUND(AVERAGE(N41:O41),2)</f>
        <v>9.0299999999999994</v>
      </c>
      <c r="E41" s="14">
        <f t="shared" si="0"/>
        <v>3.01</v>
      </c>
      <c r="F41" s="109">
        <v>8</v>
      </c>
      <c r="G41" s="110"/>
      <c r="I41" s="128"/>
      <c r="J41" s="128"/>
      <c r="K41" s="128"/>
      <c r="L41" s="128"/>
      <c r="M41" s="125">
        <v>28.5</v>
      </c>
      <c r="N41" s="128">
        <v>8</v>
      </c>
      <c r="O41" s="128">
        <v>10.06</v>
      </c>
      <c r="Q41" s="126">
        <f>AVERAGE(N41:O41)</f>
        <v>9.0300000000000011</v>
      </c>
      <c r="R41" s="126">
        <f t="shared" si="5"/>
        <v>4.5150000000000006</v>
      </c>
      <c r="S41" s="126">
        <f t="shared" si="6"/>
        <v>13.545000000000002</v>
      </c>
      <c r="U41" s="127">
        <f t="shared" si="2"/>
        <v>0</v>
      </c>
      <c r="V41" s="127">
        <f t="shared" si="9"/>
        <v>1</v>
      </c>
      <c r="W41" s="127">
        <v>38</v>
      </c>
      <c r="X41" s="127">
        <v>3</v>
      </c>
      <c r="Y41" s="127">
        <f t="shared" si="10"/>
        <v>42</v>
      </c>
    </row>
    <row r="42" spans="1:25" ht="30" customHeight="1">
      <c r="A42" s="12" t="s">
        <v>254</v>
      </c>
      <c r="B42" s="1" t="s">
        <v>262</v>
      </c>
      <c r="C42" s="34">
        <f t="shared" si="3"/>
        <v>4</v>
      </c>
      <c r="D42" s="13">
        <f>ROUND(AVERAGE(I42:O42),2)</f>
        <v>11.92</v>
      </c>
      <c r="E42" s="14">
        <f t="shared" si="0"/>
        <v>47.68</v>
      </c>
      <c r="F42" s="109">
        <v>96</v>
      </c>
      <c r="G42" s="110"/>
      <c r="I42" s="128">
        <v>10.14</v>
      </c>
      <c r="J42" s="128"/>
      <c r="K42" s="128">
        <v>7.99</v>
      </c>
      <c r="L42" s="128"/>
      <c r="M42" s="128">
        <v>14.9</v>
      </c>
      <c r="N42" s="128"/>
      <c r="O42" s="128">
        <v>14.66</v>
      </c>
      <c r="Q42" s="126">
        <f t="shared" si="1"/>
        <v>11.922499999999999</v>
      </c>
      <c r="R42" s="126">
        <f t="shared" si="5"/>
        <v>5.9612499999999997</v>
      </c>
      <c r="S42" s="126">
        <f t="shared" si="6"/>
        <v>17.883749999999999</v>
      </c>
      <c r="U42" s="127">
        <f t="shared" si="2"/>
        <v>2</v>
      </c>
      <c r="V42" s="127">
        <f t="shared" si="9"/>
        <v>1</v>
      </c>
      <c r="W42" s="127">
        <v>0</v>
      </c>
      <c r="X42" s="127">
        <v>3</v>
      </c>
      <c r="Y42" s="127">
        <f t="shared" si="10"/>
        <v>6</v>
      </c>
    </row>
    <row r="43" spans="1:25" ht="30" customHeight="1">
      <c r="A43" s="301" t="s">
        <v>113</v>
      </c>
      <c r="B43" s="302"/>
      <c r="C43" s="302"/>
      <c r="D43" s="303"/>
      <c r="E43" s="15">
        <f>SUM(E3:E42)</f>
        <v>1371.4600000000003</v>
      </c>
      <c r="F43" s="16"/>
      <c r="G43" s="16"/>
    </row>
    <row r="44" spans="1:25" ht="30" customHeight="1">
      <c r="A44" s="298" t="s">
        <v>171</v>
      </c>
      <c r="B44" s="298"/>
      <c r="C44" s="298"/>
      <c r="D44" s="298"/>
      <c r="E44" s="17">
        <f>E43*24</f>
        <v>32915.040000000008</v>
      </c>
      <c r="F44" s="16"/>
      <c r="G44" s="16"/>
    </row>
    <row r="45" spans="1:25" ht="30" customHeight="1">
      <c r="A45" s="298" t="s">
        <v>114</v>
      </c>
      <c r="B45" s="298"/>
      <c r="C45" s="298"/>
      <c r="D45" s="298"/>
      <c r="E45" s="17">
        <f>E43/SERVENTE!J154</f>
        <v>653.07619047619062</v>
      </c>
      <c r="F45" s="16"/>
      <c r="G45" s="16"/>
      <c r="Q45" s="18"/>
    </row>
    <row r="46" spans="1:25">
      <c r="Q46" s="20"/>
    </row>
    <row r="47" spans="1:25">
      <c r="A47" s="9"/>
      <c r="B47" s="9"/>
      <c r="C47" s="9"/>
      <c r="D47" s="9"/>
      <c r="E47" s="9"/>
      <c r="F47" s="9"/>
      <c r="G47" s="9"/>
      <c r="Q47" s="18"/>
    </row>
    <row r="48" spans="1:25">
      <c r="Q48" s="20"/>
    </row>
    <row r="49" spans="17:17">
      <c r="Q49" s="20"/>
    </row>
    <row r="50" spans="17:17">
      <c r="Q50" s="18"/>
    </row>
    <row r="51" spans="17:17">
      <c r="Q51" s="20"/>
    </row>
    <row r="52" spans="17:17">
      <c r="Q52" s="20"/>
    </row>
    <row r="53" spans="17:17">
      <c r="Q53" s="20"/>
    </row>
    <row r="81" ht="26.25" customHeight="1"/>
    <row r="82" ht="26.25" customHeight="1"/>
    <row r="83" ht="26.25" customHeight="1"/>
    <row r="84" ht="26.25" customHeight="1"/>
    <row r="90" ht="16.5" customHeight="1"/>
    <row r="92" ht="16.5" customHeight="1"/>
  </sheetData>
  <mergeCells count="4">
    <mergeCell ref="A45:D45"/>
    <mergeCell ref="A1:F1"/>
    <mergeCell ref="A43:D43"/>
    <mergeCell ref="A44:D44"/>
  </mergeCells>
  <phoneticPr fontId="20" type="noConversion"/>
  <conditionalFormatting sqref="Y3:Y42">
    <cfRule type="cellIs" dxfId="2" priority="1" operator="lessThan">
      <formula>3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2" fitToHeight="0" orientation="portrait" r:id="rId1"/>
  <ignoredErrors>
    <ignoredError sqref="U3:U42 D23 Q9 Q41 D18 D33:D41" formulaRange="1"/>
    <ignoredError sqref="D7 Q7 Q16 Q25" formula="1"/>
    <ignoredError sqref="D5 Q5 Q23 Q18" formula="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6">
    <pageSetUpPr fitToPage="1"/>
  </sheetPr>
  <dimension ref="A1:X94"/>
  <sheetViews>
    <sheetView showGridLines="0" zoomScale="80" zoomScaleNormal="80" zoomScaleSheetLayoutView="53" workbookViewId="0">
      <selection activeCell="A2" sqref="A2"/>
    </sheetView>
  </sheetViews>
  <sheetFormatPr defaultColWidth="9.140625" defaultRowHeight="15.75"/>
  <cols>
    <col min="1" max="1" width="73.140625" style="18" bestFit="1" customWidth="1"/>
    <col min="2" max="3" width="16.28515625" style="18" customWidth="1"/>
    <col min="4" max="4" width="13.85546875" style="18" customWidth="1"/>
    <col min="5" max="5" width="18.140625" style="18" customWidth="1"/>
    <col min="6" max="6" width="21.7109375" style="20" customWidth="1"/>
    <col min="7" max="7" width="5.7109375" style="20" customWidth="1"/>
    <col min="8" max="12" width="15.7109375" style="20" customWidth="1"/>
    <col min="13" max="14" width="15.7109375" style="7" customWidth="1"/>
    <col min="15" max="15" width="5.7109375" style="20" customWidth="1"/>
    <col min="16" max="18" width="15.7109375" style="20" customWidth="1"/>
    <col min="19" max="19" width="5.7109375" style="20" customWidth="1"/>
    <col min="20" max="24" width="15.7109375" style="20" customWidth="1"/>
    <col min="25" max="16384" width="9.140625" style="20"/>
  </cols>
  <sheetData>
    <row r="1" spans="1:24" s="18" customFormat="1" ht="30" customHeight="1">
      <c r="A1" s="299" t="s">
        <v>148</v>
      </c>
      <c r="B1" s="299"/>
      <c r="C1" s="299"/>
      <c r="D1" s="299"/>
      <c r="E1" s="300"/>
      <c r="F1" s="114"/>
      <c r="M1" s="7"/>
      <c r="N1" s="7"/>
    </row>
    <row r="2" spans="1:24" s="19" customFormat="1" ht="42" customHeight="1">
      <c r="A2" s="84" t="s">
        <v>379</v>
      </c>
      <c r="B2" s="84" t="s">
        <v>107</v>
      </c>
      <c r="C2" s="85" t="s">
        <v>173</v>
      </c>
      <c r="D2" s="85" t="s">
        <v>109</v>
      </c>
      <c r="E2" s="85" t="s">
        <v>110</v>
      </c>
      <c r="F2" s="85" t="s">
        <v>324</v>
      </c>
      <c r="H2" s="115" t="s">
        <v>323</v>
      </c>
      <c r="I2" s="115" t="s">
        <v>325</v>
      </c>
      <c r="J2" s="115" t="s">
        <v>326</v>
      </c>
      <c r="K2" s="115" t="s">
        <v>327</v>
      </c>
      <c r="L2" s="115" t="s">
        <v>357</v>
      </c>
      <c r="M2" s="115" t="s">
        <v>368</v>
      </c>
      <c r="N2" s="115" t="s">
        <v>384</v>
      </c>
      <c r="P2" s="115" t="s">
        <v>356</v>
      </c>
      <c r="Q2" s="115" t="s">
        <v>354</v>
      </c>
      <c r="R2" s="115" t="s">
        <v>355</v>
      </c>
      <c r="T2" s="115" t="s">
        <v>358</v>
      </c>
      <c r="U2" s="115" t="s">
        <v>362</v>
      </c>
      <c r="V2" s="115" t="s">
        <v>359</v>
      </c>
      <c r="W2" s="115" t="s">
        <v>360</v>
      </c>
      <c r="X2" s="115" t="s">
        <v>361</v>
      </c>
    </row>
    <row r="3" spans="1:24" ht="30" customHeight="1">
      <c r="A3" s="4" t="s">
        <v>363</v>
      </c>
      <c r="B3" s="1" t="s">
        <v>117</v>
      </c>
      <c r="C3" s="1">
        <v>12</v>
      </c>
      <c r="D3" s="23">
        <f>ROUND(AVERAGE(H3:N3),2)</f>
        <v>9.9</v>
      </c>
      <c r="E3" s="24">
        <f t="shared" ref="E3:E24" si="0">C3*D3</f>
        <v>118.80000000000001</v>
      </c>
      <c r="F3" s="113"/>
      <c r="H3" s="128">
        <v>7.28</v>
      </c>
      <c r="I3" s="128"/>
      <c r="J3" s="124">
        <v>10.92</v>
      </c>
      <c r="K3" s="124">
        <v>13.08</v>
      </c>
      <c r="L3" s="124">
        <v>9.9</v>
      </c>
      <c r="M3" s="128">
        <v>7.65</v>
      </c>
      <c r="N3" s="124">
        <v>10.54</v>
      </c>
      <c r="P3" s="126">
        <f t="shared" ref="P3:P25" si="1">AVERAGE(H3:N3)</f>
        <v>9.8949999999999996</v>
      </c>
      <c r="Q3" s="126">
        <f>P3*0.5</f>
        <v>4.9474999999999998</v>
      </c>
      <c r="R3" s="126">
        <f>P3*1.5</f>
        <v>14.842499999999999</v>
      </c>
      <c r="T3" s="127">
        <f t="shared" ref="T3:T25" si="2">COUNTA(H3:K3)</f>
        <v>3</v>
      </c>
      <c r="U3" s="127">
        <f>COUNTA(L3)</f>
        <v>1</v>
      </c>
      <c r="V3" s="127">
        <v>43</v>
      </c>
      <c r="W3" s="127">
        <v>3</v>
      </c>
      <c r="X3" s="127">
        <f>SUM(T3:W3)</f>
        <v>50</v>
      </c>
    </row>
    <row r="4" spans="1:24" ht="30" customHeight="1">
      <c r="A4" s="104" t="s">
        <v>271</v>
      </c>
      <c r="B4" s="1" t="s">
        <v>117</v>
      </c>
      <c r="C4" s="1">
        <v>3</v>
      </c>
      <c r="D4" s="23">
        <f t="shared" ref="D4:D22" si="3">ROUND(AVERAGE(H4:N4),2)</f>
        <v>33.270000000000003</v>
      </c>
      <c r="E4" s="24">
        <f t="shared" si="0"/>
        <v>99.81</v>
      </c>
      <c r="F4" s="113"/>
      <c r="H4" s="128">
        <v>26.25</v>
      </c>
      <c r="I4" s="128"/>
      <c r="J4" s="128">
        <v>38</v>
      </c>
      <c r="K4" s="128"/>
      <c r="L4" s="128">
        <v>32.5</v>
      </c>
      <c r="M4" s="128"/>
      <c r="N4" s="128">
        <v>36.33</v>
      </c>
      <c r="P4" s="126">
        <f t="shared" si="1"/>
        <v>33.269999999999996</v>
      </c>
      <c r="Q4" s="126">
        <f t="shared" ref="Q4:Q25" si="4">P4*0.5</f>
        <v>16.634999999999998</v>
      </c>
      <c r="R4" s="126">
        <f t="shared" ref="R4:R25" si="5">P4*1.5</f>
        <v>49.904999999999994</v>
      </c>
      <c r="T4" s="127">
        <f t="shared" si="2"/>
        <v>2</v>
      </c>
      <c r="U4" s="127">
        <f t="shared" ref="U4:U5" si="6">COUNTA(L4)</f>
        <v>1</v>
      </c>
      <c r="V4" s="127">
        <v>0</v>
      </c>
      <c r="W4" s="127">
        <v>3</v>
      </c>
      <c r="X4" s="127">
        <f t="shared" ref="X4:X5" si="7">SUM(T4:W4)</f>
        <v>6</v>
      </c>
    </row>
    <row r="5" spans="1:24" ht="30" customHeight="1">
      <c r="A5" s="4" t="s">
        <v>111</v>
      </c>
      <c r="B5" s="1" t="s">
        <v>117</v>
      </c>
      <c r="C5" s="1">
        <v>3</v>
      </c>
      <c r="D5" s="23">
        <f>ROUND(AVERAGE(H5,J5,L5,M5,N5),2)</f>
        <v>3.65</v>
      </c>
      <c r="E5" s="24">
        <f t="shared" si="0"/>
        <v>10.95</v>
      </c>
      <c r="F5" s="113"/>
      <c r="H5" s="128">
        <v>3.26</v>
      </c>
      <c r="I5" s="128"/>
      <c r="J5" s="128">
        <v>3.75</v>
      </c>
      <c r="K5" s="125">
        <v>7.58</v>
      </c>
      <c r="L5" s="128">
        <v>3.5</v>
      </c>
      <c r="M5" s="128">
        <v>3.9</v>
      </c>
      <c r="N5" s="128">
        <v>3.83</v>
      </c>
      <c r="P5" s="126">
        <f t="shared" si="1"/>
        <v>4.3033333333333337</v>
      </c>
      <c r="Q5" s="126">
        <f t="shared" si="4"/>
        <v>2.1516666666666668</v>
      </c>
      <c r="R5" s="126">
        <f t="shared" si="5"/>
        <v>6.4550000000000001</v>
      </c>
      <c r="T5" s="127">
        <f t="shared" si="2"/>
        <v>3</v>
      </c>
      <c r="U5" s="127">
        <f t="shared" si="6"/>
        <v>1</v>
      </c>
      <c r="V5" s="127">
        <v>37</v>
      </c>
      <c r="W5" s="127">
        <v>3</v>
      </c>
      <c r="X5" s="127">
        <f t="shared" si="7"/>
        <v>44</v>
      </c>
    </row>
    <row r="6" spans="1:24" ht="30" customHeight="1">
      <c r="A6" s="4" t="s">
        <v>264</v>
      </c>
      <c r="B6" s="1" t="s">
        <v>117</v>
      </c>
      <c r="C6" s="1">
        <v>3</v>
      </c>
      <c r="D6" s="23">
        <f>ROUND(AVERAGE(H6,J6,L6,M6,N6),2)</f>
        <v>5.69</v>
      </c>
      <c r="E6" s="24">
        <f t="shared" si="0"/>
        <v>17.07</v>
      </c>
      <c r="F6" s="113"/>
      <c r="H6" s="128">
        <v>3.86</v>
      </c>
      <c r="I6" s="128"/>
      <c r="J6" s="128">
        <v>5.3</v>
      </c>
      <c r="K6" s="125">
        <v>10.91</v>
      </c>
      <c r="L6" s="128">
        <v>7.5</v>
      </c>
      <c r="M6" s="128">
        <v>5.5</v>
      </c>
      <c r="N6" s="128">
        <v>6.28</v>
      </c>
      <c r="P6" s="126">
        <f t="shared" si="1"/>
        <v>6.5583333333333336</v>
      </c>
      <c r="Q6" s="126">
        <f t="shared" si="4"/>
        <v>3.2791666666666668</v>
      </c>
      <c r="R6" s="126">
        <f t="shared" si="5"/>
        <v>9.8375000000000004</v>
      </c>
      <c r="T6" s="127">
        <f t="shared" si="2"/>
        <v>3</v>
      </c>
      <c r="U6" s="127">
        <f t="shared" ref="U6:U25" si="8">COUNTA(L6)</f>
        <v>1</v>
      </c>
      <c r="V6" s="127">
        <v>41</v>
      </c>
      <c r="W6" s="127">
        <v>3</v>
      </c>
      <c r="X6" s="127">
        <f t="shared" ref="X6:X25" si="9">SUM(T6:W6)</f>
        <v>48</v>
      </c>
    </row>
    <row r="7" spans="1:24" ht="30" customHeight="1">
      <c r="A7" s="104" t="s">
        <v>164</v>
      </c>
      <c r="B7" s="1" t="s">
        <v>117</v>
      </c>
      <c r="C7" s="105">
        <v>12</v>
      </c>
      <c r="D7" s="23">
        <f>ROUND(AVERAGE(J7,M7,N7),2)</f>
        <v>24.19</v>
      </c>
      <c r="E7" s="24">
        <f t="shared" si="0"/>
        <v>290.28000000000003</v>
      </c>
      <c r="F7" s="113"/>
      <c r="H7" s="128"/>
      <c r="I7" s="128"/>
      <c r="J7" s="128">
        <v>23.6</v>
      </c>
      <c r="K7" s="128"/>
      <c r="L7" s="125">
        <v>632</v>
      </c>
      <c r="M7" s="128">
        <v>23.04</v>
      </c>
      <c r="N7" s="128">
        <v>25.93</v>
      </c>
      <c r="P7" s="126">
        <f>AVERAGE(J7,M7:N7)</f>
        <v>24.189999999999998</v>
      </c>
      <c r="Q7" s="126">
        <f t="shared" si="4"/>
        <v>12.094999999999999</v>
      </c>
      <c r="R7" s="126">
        <f t="shared" si="5"/>
        <v>36.284999999999997</v>
      </c>
      <c r="T7" s="127">
        <f t="shared" si="2"/>
        <v>1</v>
      </c>
      <c r="U7" s="127">
        <f t="shared" si="8"/>
        <v>1</v>
      </c>
      <c r="V7" s="127">
        <v>28</v>
      </c>
      <c r="W7" s="127">
        <v>3</v>
      </c>
      <c r="X7" s="127">
        <f t="shared" si="9"/>
        <v>33</v>
      </c>
    </row>
    <row r="8" spans="1:24" ht="30" customHeight="1">
      <c r="A8" s="104" t="s">
        <v>265</v>
      </c>
      <c r="B8" s="1" t="s">
        <v>117</v>
      </c>
      <c r="C8" s="105">
        <v>2</v>
      </c>
      <c r="D8" s="23">
        <f>ROUND(AVERAGE(H8:N8),2)</f>
        <v>26.53</v>
      </c>
      <c r="E8" s="24">
        <f t="shared" si="0"/>
        <v>53.06</v>
      </c>
      <c r="F8" s="113"/>
      <c r="H8" s="128"/>
      <c r="I8" s="128"/>
      <c r="J8" s="128">
        <v>23.04</v>
      </c>
      <c r="K8" s="128"/>
      <c r="L8" s="128">
        <v>32</v>
      </c>
      <c r="M8" s="128">
        <v>23.77</v>
      </c>
      <c r="N8" s="128">
        <v>27.3</v>
      </c>
      <c r="P8" s="126">
        <f t="shared" si="1"/>
        <v>26.5275</v>
      </c>
      <c r="Q8" s="126">
        <f t="shared" si="4"/>
        <v>13.26375</v>
      </c>
      <c r="R8" s="126">
        <f t="shared" si="5"/>
        <v>39.791249999999998</v>
      </c>
      <c r="T8" s="127">
        <f t="shared" si="2"/>
        <v>1</v>
      </c>
      <c r="U8" s="127">
        <f t="shared" si="8"/>
        <v>1</v>
      </c>
      <c r="V8" s="127">
        <v>44</v>
      </c>
      <c r="W8" s="127">
        <v>3</v>
      </c>
      <c r="X8" s="127">
        <f t="shared" si="9"/>
        <v>49</v>
      </c>
    </row>
    <row r="9" spans="1:24" ht="30" customHeight="1">
      <c r="A9" s="104" t="s">
        <v>165</v>
      </c>
      <c r="B9" s="1" t="s">
        <v>117</v>
      </c>
      <c r="C9" s="105">
        <v>12</v>
      </c>
      <c r="D9" s="23">
        <f t="shared" si="3"/>
        <v>34.69</v>
      </c>
      <c r="E9" s="24">
        <f t="shared" si="0"/>
        <v>416.28</v>
      </c>
      <c r="F9" s="113"/>
      <c r="H9" s="128"/>
      <c r="I9" s="128"/>
      <c r="J9" s="128">
        <v>39.159999999999997</v>
      </c>
      <c r="K9" s="128"/>
      <c r="L9" s="128">
        <v>38</v>
      </c>
      <c r="M9" s="128">
        <v>26</v>
      </c>
      <c r="N9" s="128">
        <v>35.6</v>
      </c>
      <c r="P9" s="126">
        <f t="shared" si="1"/>
        <v>34.69</v>
      </c>
      <c r="Q9" s="126">
        <f t="shared" si="4"/>
        <v>17.344999999999999</v>
      </c>
      <c r="R9" s="126">
        <f t="shared" si="5"/>
        <v>52.034999999999997</v>
      </c>
      <c r="T9" s="127">
        <f t="shared" si="2"/>
        <v>1</v>
      </c>
      <c r="U9" s="127">
        <f t="shared" si="8"/>
        <v>1</v>
      </c>
      <c r="V9" s="127">
        <v>41</v>
      </c>
      <c r="W9" s="127">
        <v>3</v>
      </c>
      <c r="X9" s="127">
        <f t="shared" si="9"/>
        <v>46</v>
      </c>
    </row>
    <row r="10" spans="1:24" ht="30" customHeight="1">
      <c r="A10" s="104" t="s">
        <v>319</v>
      </c>
      <c r="B10" s="105" t="s">
        <v>117</v>
      </c>
      <c r="C10" s="105">
        <v>6</v>
      </c>
      <c r="D10" s="23">
        <f>ROUND(AVERAGE(L10:N10),2)</f>
        <v>44.55</v>
      </c>
      <c r="E10" s="24">
        <f t="shared" ref="E10" si="10">C10*D10</f>
        <v>267.29999999999995</v>
      </c>
      <c r="F10" s="113"/>
      <c r="H10" s="128"/>
      <c r="I10" s="128"/>
      <c r="J10" s="128"/>
      <c r="K10" s="128"/>
      <c r="L10" s="128">
        <v>62.5</v>
      </c>
      <c r="M10" s="128">
        <v>34.130000000000003</v>
      </c>
      <c r="N10" s="128">
        <v>37.03</v>
      </c>
      <c r="P10" s="126">
        <f t="shared" si="1"/>
        <v>44.553333333333335</v>
      </c>
      <c r="Q10" s="126">
        <f t="shared" si="4"/>
        <v>22.276666666666667</v>
      </c>
      <c r="R10" s="126">
        <f t="shared" si="5"/>
        <v>66.83</v>
      </c>
      <c r="T10" s="127">
        <f t="shared" si="2"/>
        <v>0</v>
      </c>
      <c r="U10" s="127">
        <f t="shared" si="8"/>
        <v>1</v>
      </c>
      <c r="V10" s="127">
        <v>43</v>
      </c>
      <c r="W10" s="127">
        <v>3</v>
      </c>
      <c r="X10" s="127">
        <f t="shared" si="9"/>
        <v>47</v>
      </c>
    </row>
    <row r="11" spans="1:24" ht="30" customHeight="1">
      <c r="A11" s="4" t="s">
        <v>166</v>
      </c>
      <c r="B11" s="1" t="s">
        <v>117</v>
      </c>
      <c r="C11" s="1">
        <v>6</v>
      </c>
      <c r="D11" s="23">
        <f>ROUND(AVERAGE(H11,J11,L11,M11,N11),2)</f>
        <v>5.0999999999999996</v>
      </c>
      <c r="E11" s="24">
        <f t="shared" si="0"/>
        <v>30.599999999999998</v>
      </c>
      <c r="F11" s="113"/>
      <c r="H11" s="128">
        <v>5.51</v>
      </c>
      <c r="I11" s="125">
        <v>12</v>
      </c>
      <c r="J11" s="128">
        <v>5.95</v>
      </c>
      <c r="K11" s="125">
        <v>9.83</v>
      </c>
      <c r="L11" s="128">
        <v>3.8</v>
      </c>
      <c r="M11" s="128">
        <v>4.5</v>
      </c>
      <c r="N11" s="128">
        <v>5.76</v>
      </c>
      <c r="P11" s="126">
        <f>AVERAGE(H11,J11:N11)</f>
        <v>5.8916666666666666</v>
      </c>
      <c r="Q11" s="126">
        <f t="shared" si="4"/>
        <v>2.9458333333333333</v>
      </c>
      <c r="R11" s="126">
        <f t="shared" si="5"/>
        <v>8.8375000000000004</v>
      </c>
      <c r="T11" s="127">
        <f t="shared" si="2"/>
        <v>4</v>
      </c>
      <c r="U11" s="127">
        <f t="shared" si="8"/>
        <v>1</v>
      </c>
      <c r="V11" s="127">
        <v>41</v>
      </c>
      <c r="W11" s="127">
        <v>3</v>
      </c>
      <c r="X11" s="127">
        <f t="shared" si="9"/>
        <v>49</v>
      </c>
    </row>
    <row r="12" spans="1:24" ht="30" customHeight="1">
      <c r="A12" s="4" t="s">
        <v>266</v>
      </c>
      <c r="B12" s="1" t="s">
        <v>117</v>
      </c>
      <c r="C12" s="1">
        <v>8</v>
      </c>
      <c r="D12" s="23">
        <f>ROUND(AVERAGE(J12:N12),2)</f>
        <v>16.87</v>
      </c>
      <c r="E12" s="24">
        <f t="shared" si="0"/>
        <v>134.96</v>
      </c>
      <c r="F12" s="113"/>
      <c r="H12" s="125">
        <v>5.51</v>
      </c>
      <c r="I12" s="128"/>
      <c r="J12" s="128">
        <v>10.32</v>
      </c>
      <c r="K12" s="128">
        <v>19.989999999999998</v>
      </c>
      <c r="L12" s="128">
        <v>22.5</v>
      </c>
      <c r="M12" s="128">
        <v>15.97</v>
      </c>
      <c r="N12" s="128">
        <v>15.56</v>
      </c>
      <c r="P12" s="126">
        <f>AVERAGE(J12:N12)</f>
        <v>16.868000000000002</v>
      </c>
      <c r="Q12" s="126">
        <f t="shared" si="4"/>
        <v>8.4340000000000011</v>
      </c>
      <c r="R12" s="126">
        <f t="shared" si="5"/>
        <v>25.302000000000003</v>
      </c>
      <c r="T12" s="127">
        <f t="shared" si="2"/>
        <v>3</v>
      </c>
      <c r="U12" s="127">
        <f t="shared" si="8"/>
        <v>1</v>
      </c>
      <c r="V12" s="127">
        <v>18</v>
      </c>
      <c r="W12" s="127">
        <v>3</v>
      </c>
      <c r="X12" s="127">
        <f t="shared" si="9"/>
        <v>25</v>
      </c>
    </row>
    <row r="13" spans="1:24" ht="30" customHeight="1">
      <c r="A13" s="104" t="s">
        <v>267</v>
      </c>
      <c r="B13" s="1" t="s">
        <v>117</v>
      </c>
      <c r="C13" s="1">
        <v>1</v>
      </c>
      <c r="D13" s="23">
        <f>ROUND(AVERAGE(L13:N13),2)</f>
        <v>327.62</v>
      </c>
      <c r="E13" s="24">
        <f t="shared" si="0"/>
        <v>327.62</v>
      </c>
      <c r="F13" s="113"/>
      <c r="H13" s="128"/>
      <c r="I13" s="128"/>
      <c r="J13" s="125">
        <v>68.23</v>
      </c>
      <c r="K13" s="128"/>
      <c r="L13" s="128">
        <v>380</v>
      </c>
      <c r="M13" s="128"/>
      <c r="N13" s="128">
        <v>275.24</v>
      </c>
      <c r="P13" s="126">
        <f>AVERAGE(L13:N13)</f>
        <v>327.62</v>
      </c>
      <c r="Q13" s="126">
        <f t="shared" si="4"/>
        <v>163.81</v>
      </c>
      <c r="R13" s="126">
        <f t="shared" si="5"/>
        <v>491.43</v>
      </c>
      <c r="T13" s="127">
        <f t="shared" si="2"/>
        <v>1</v>
      </c>
      <c r="U13" s="127">
        <f t="shared" si="8"/>
        <v>1</v>
      </c>
      <c r="V13" s="127">
        <v>0</v>
      </c>
      <c r="W13" s="127">
        <v>3</v>
      </c>
      <c r="X13" s="127">
        <f t="shared" si="9"/>
        <v>5</v>
      </c>
    </row>
    <row r="14" spans="1:24" ht="30" customHeight="1">
      <c r="A14" s="4" t="s">
        <v>125</v>
      </c>
      <c r="B14" s="1" t="s">
        <v>117</v>
      </c>
      <c r="C14" s="1">
        <v>3</v>
      </c>
      <c r="D14" s="23">
        <f>ROUND(AVERAGE(J14,M14,N14),2)</f>
        <v>7.72</v>
      </c>
      <c r="E14" s="24">
        <f t="shared" si="0"/>
        <v>23.16</v>
      </c>
      <c r="F14" s="113"/>
      <c r="H14" s="128"/>
      <c r="I14" s="128"/>
      <c r="J14" s="128">
        <v>4.1100000000000003</v>
      </c>
      <c r="K14" s="128"/>
      <c r="L14" s="125">
        <v>85</v>
      </c>
      <c r="M14" s="128">
        <v>8.09</v>
      </c>
      <c r="N14" s="128">
        <v>10.95</v>
      </c>
      <c r="P14" s="126">
        <f>AVERAGE(J14,M14:N14)</f>
        <v>7.7166666666666659</v>
      </c>
      <c r="Q14" s="126">
        <f t="shared" si="4"/>
        <v>3.8583333333333329</v>
      </c>
      <c r="R14" s="126">
        <f t="shared" si="5"/>
        <v>11.574999999999999</v>
      </c>
      <c r="T14" s="127">
        <f t="shared" si="2"/>
        <v>1</v>
      </c>
      <c r="U14" s="127">
        <f t="shared" si="8"/>
        <v>1</v>
      </c>
      <c r="V14" s="127">
        <v>10</v>
      </c>
      <c r="W14" s="127">
        <v>3</v>
      </c>
      <c r="X14" s="127">
        <f t="shared" si="9"/>
        <v>15</v>
      </c>
    </row>
    <row r="15" spans="1:24" ht="30" customHeight="1">
      <c r="A15" s="4" t="s">
        <v>268</v>
      </c>
      <c r="B15" s="1" t="s">
        <v>117</v>
      </c>
      <c r="C15" s="1">
        <v>12</v>
      </c>
      <c r="D15" s="23">
        <f>ROUND(AVERAGE(H15:N15),2)</f>
        <v>5.55</v>
      </c>
      <c r="E15" s="24">
        <f t="shared" si="0"/>
        <v>66.599999999999994</v>
      </c>
      <c r="F15" s="113"/>
      <c r="H15" s="128"/>
      <c r="I15" s="128"/>
      <c r="J15" s="128">
        <v>4.63</v>
      </c>
      <c r="K15" s="128"/>
      <c r="L15" s="128">
        <v>6.5</v>
      </c>
      <c r="M15" s="128">
        <v>4.9800000000000004</v>
      </c>
      <c r="N15" s="128">
        <v>6.09</v>
      </c>
      <c r="P15" s="126">
        <f>AVERAGE(H15:N15)</f>
        <v>5.55</v>
      </c>
      <c r="Q15" s="126">
        <f t="shared" si="4"/>
        <v>2.7749999999999999</v>
      </c>
      <c r="R15" s="126">
        <f t="shared" si="5"/>
        <v>8.3249999999999993</v>
      </c>
      <c r="T15" s="127">
        <f t="shared" si="2"/>
        <v>1</v>
      </c>
      <c r="U15" s="127">
        <f t="shared" si="8"/>
        <v>1</v>
      </c>
      <c r="V15" s="127">
        <v>41</v>
      </c>
      <c r="W15" s="127">
        <v>3</v>
      </c>
      <c r="X15" s="127">
        <f t="shared" si="9"/>
        <v>46</v>
      </c>
    </row>
    <row r="16" spans="1:24" ht="30" customHeight="1">
      <c r="A16" s="4" t="s">
        <v>167</v>
      </c>
      <c r="B16" s="1" t="s">
        <v>117</v>
      </c>
      <c r="C16" s="1">
        <v>4</v>
      </c>
      <c r="D16" s="23">
        <f>ROUND(AVERAGE(H16,J16,L16:N16),2)</f>
        <v>7.52</v>
      </c>
      <c r="E16" s="24">
        <f t="shared" si="0"/>
        <v>30.08</v>
      </c>
      <c r="F16" s="113"/>
      <c r="H16" s="128">
        <v>5.63</v>
      </c>
      <c r="I16" s="125">
        <v>20</v>
      </c>
      <c r="J16" s="128">
        <v>5.89</v>
      </c>
      <c r="K16" s="125">
        <v>23.92</v>
      </c>
      <c r="L16" s="128">
        <v>7.5</v>
      </c>
      <c r="M16" s="128">
        <v>8.41</v>
      </c>
      <c r="N16" s="128">
        <v>10.15</v>
      </c>
      <c r="P16" s="126">
        <f>AVERAGE(H16,J16,L16,M16,N16)</f>
        <v>7.516</v>
      </c>
      <c r="Q16" s="126">
        <f t="shared" si="4"/>
        <v>3.758</v>
      </c>
      <c r="R16" s="126">
        <f t="shared" si="5"/>
        <v>11.274000000000001</v>
      </c>
      <c r="T16" s="127">
        <f t="shared" si="2"/>
        <v>4</v>
      </c>
      <c r="U16" s="127">
        <f t="shared" si="8"/>
        <v>1</v>
      </c>
      <c r="V16" s="127">
        <v>44</v>
      </c>
      <c r="W16" s="127">
        <v>3</v>
      </c>
      <c r="X16" s="127">
        <f t="shared" si="9"/>
        <v>52</v>
      </c>
    </row>
    <row r="17" spans="1:24" ht="30" customHeight="1">
      <c r="A17" s="4" t="s">
        <v>126</v>
      </c>
      <c r="B17" s="1" t="s">
        <v>117</v>
      </c>
      <c r="C17" s="1">
        <v>6</v>
      </c>
      <c r="D17" s="23">
        <f>ROUND(AVERAGE(H17,J17,L17:N17),2)</f>
        <v>6.04</v>
      </c>
      <c r="E17" s="24">
        <f t="shared" si="0"/>
        <v>36.24</v>
      </c>
      <c r="F17" s="113"/>
      <c r="H17" s="128">
        <v>3.83</v>
      </c>
      <c r="I17" s="125">
        <v>16</v>
      </c>
      <c r="J17" s="128">
        <v>5.67</v>
      </c>
      <c r="K17" s="125">
        <v>18.829999999999998</v>
      </c>
      <c r="L17" s="128">
        <v>6.5</v>
      </c>
      <c r="M17" s="128">
        <v>5.66</v>
      </c>
      <c r="N17" s="128">
        <v>8.5399999999999991</v>
      </c>
      <c r="P17" s="126">
        <f>AVERAGE(J17,L17,M17,N17)</f>
        <v>6.5924999999999994</v>
      </c>
      <c r="Q17" s="126">
        <f t="shared" si="4"/>
        <v>3.2962499999999997</v>
      </c>
      <c r="R17" s="126">
        <f t="shared" si="5"/>
        <v>9.8887499999999982</v>
      </c>
      <c r="T17" s="127">
        <f t="shared" si="2"/>
        <v>4</v>
      </c>
      <c r="U17" s="127">
        <f t="shared" si="8"/>
        <v>1</v>
      </c>
      <c r="V17" s="127">
        <v>44</v>
      </c>
      <c r="W17" s="127">
        <v>3</v>
      </c>
      <c r="X17" s="127">
        <f t="shared" si="9"/>
        <v>52</v>
      </c>
    </row>
    <row r="18" spans="1:24" ht="30" customHeight="1">
      <c r="A18" s="4" t="s">
        <v>168</v>
      </c>
      <c r="B18" s="1" t="s">
        <v>117</v>
      </c>
      <c r="C18" s="1">
        <v>6</v>
      </c>
      <c r="D18" s="23">
        <f t="shared" si="3"/>
        <v>5.88</v>
      </c>
      <c r="E18" s="24">
        <f t="shared" si="0"/>
        <v>35.28</v>
      </c>
      <c r="F18" s="113"/>
      <c r="H18" s="128"/>
      <c r="I18" s="128"/>
      <c r="J18" s="128"/>
      <c r="K18" s="128"/>
      <c r="L18" s="128">
        <v>5.5</v>
      </c>
      <c r="M18" s="128">
        <v>4.9000000000000004</v>
      </c>
      <c r="N18" s="128">
        <v>7.24</v>
      </c>
      <c r="P18" s="126">
        <f t="shared" si="1"/>
        <v>5.88</v>
      </c>
      <c r="Q18" s="126">
        <f t="shared" si="4"/>
        <v>2.94</v>
      </c>
      <c r="R18" s="126">
        <f t="shared" si="5"/>
        <v>8.82</v>
      </c>
      <c r="T18" s="127">
        <f t="shared" si="2"/>
        <v>0</v>
      </c>
      <c r="U18" s="127">
        <f t="shared" si="8"/>
        <v>1</v>
      </c>
      <c r="V18" s="127">
        <v>29</v>
      </c>
      <c r="W18" s="127">
        <v>3</v>
      </c>
      <c r="X18" s="127">
        <f t="shared" si="9"/>
        <v>33</v>
      </c>
    </row>
    <row r="19" spans="1:24" ht="30" customHeight="1">
      <c r="A19" s="4" t="s">
        <v>169</v>
      </c>
      <c r="B19" s="1" t="s">
        <v>117</v>
      </c>
      <c r="C19" s="1">
        <v>3</v>
      </c>
      <c r="D19" s="23">
        <f t="shared" si="3"/>
        <v>30.3</v>
      </c>
      <c r="E19" s="24">
        <f t="shared" si="0"/>
        <v>90.9</v>
      </c>
      <c r="F19" s="113"/>
      <c r="H19" s="128"/>
      <c r="I19" s="128"/>
      <c r="J19" s="128"/>
      <c r="K19" s="128"/>
      <c r="L19" s="128">
        <v>26.5</v>
      </c>
      <c r="M19" s="128">
        <v>21.3</v>
      </c>
      <c r="N19" s="128">
        <v>43.1</v>
      </c>
      <c r="P19" s="126">
        <f t="shared" si="1"/>
        <v>30.3</v>
      </c>
      <c r="Q19" s="126">
        <f t="shared" si="4"/>
        <v>15.15</v>
      </c>
      <c r="R19" s="126">
        <f t="shared" si="5"/>
        <v>45.45</v>
      </c>
      <c r="T19" s="127">
        <f t="shared" si="2"/>
        <v>0</v>
      </c>
      <c r="U19" s="127">
        <f t="shared" si="8"/>
        <v>1</v>
      </c>
      <c r="V19" s="127">
        <v>5</v>
      </c>
      <c r="W19" s="127">
        <v>3</v>
      </c>
      <c r="X19" s="127">
        <f t="shared" si="9"/>
        <v>9</v>
      </c>
    </row>
    <row r="20" spans="1:24" ht="30" customHeight="1">
      <c r="A20" s="4" t="s">
        <v>170</v>
      </c>
      <c r="B20" s="1" t="s">
        <v>117</v>
      </c>
      <c r="C20" s="1">
        <v>4</v>
      </c>
      <c r="D20" s="23">
        <f t="shared" si="3"/>
        <v>14.03</v>
      </c>
      <c r="E20" s="24">
        <f t="shared" si="0"/>
        <v>56.12</v>
      </c>
      <c r="F20" s="113"/>
      <c r="H20" s="128">
        <v>7.55</v>
      </c>
      <c r="I20" s="128"/>
      <c r="J20" s="128">
        <v>12.87</v>
      </c>
      <c r="K20" s="128">
        <v>17.88</v>
      </c>
      <c r="L20" s="128">
        <v>11.5</v>
      </c>
      <c r="M20" s="128">
        <v>16.41</v>
      </c>
      <c r="N20" s="128">
        <v>17.96</v>
      </c>
      <c r="P20" s="126">
        <f t="shared" si="1"/>
        <v>14.028333333333331</v>
      </c>
      <c r="Q20" s="126">
        <f t="shared" si="4"/>
        <v>7.0141666666666653</v>
      </c>
      <c r="R20" s="126">
        <f t="shared" si="5"/>
        <v>21.042499999999997</v>
      </c>
      <c r="T20" s="127">
        <f t="shared" si="2"/>
        <v>3</v>
      </c>
      <c r="U20" s="127">
        <f t="shared" si="8"/>
        <v>1</v>
      </c>
      <c r="V20" s="127">
        <v>14</v>
      </c>
      <c r="W20" s="127">
        <v>3</v>
      </c>
      <c r="X20" s="127">
        <f t="shared" si="9"/>
        <v>21</v>
      </c>
    </row>
    <row r="21" spans="1:24" ht="30" customHeight="1">
      <c r="A21" s="4" t="s">
        <v>364</v>
      </c>
      <c r="B21" s="1" t="s">
        <v>117</v>
      </c>
      <c r="C21" s="1">
        <v>9</v>
      </c>
      <c r="D21" s="23">
        <f>ROUND(AVERAGE(H21:M21),2)</f>
        <v>9.2899999999999991</v>
      </c>
      <c r="E21" s="24">
        <f t="shared" si="0"/>
        <v>83.609999999999985</v>
      </c>
      <c r="F21" s="113"/>
      <c r="H21" s="128">
        <v>6.75</v>
      </c>
      <c r="I21" s="128"/>
      <c r="J21" s="128">
        <v>7.41</v>
      </c>
      <c r="K21" s="128"/>
      <c r="L21" s="128">
        <v>8.5</v>
      </c>
      <c r="M21" s="128">
        <v>14.5</v>
      </c>
      <c r="N21" s="125">
        <v>18.690000000000001</v>
      </c>
      <c r="P21" s="126">
        <f t="shared" si="1"/>
        <v>11.169999999999998</v>
      </c>
      <c r="Q21" s="126">
        <f t="shared" si="4"/>
        <v>5.5849999999999991</v>
      </c>
      <c r="R21" s="126">
        <f t="shared" si="5"/>
        <v>16.754999999999995</v>
      </c>
      <c r="T21" s="127">
        <f t="shared" si="2"/>
        <v>2</v>
      </c>
      <c r="U21" s="127">
        <f t="shared" si="8"/>
        <v>1</v>
      </c>
      <c r="V21" s="127">
        <v>14</v>
      </c>
      <c r="W21" s="127">
        <v>3</v>
      </c>
      <c r="X21" s="127">
        <f t="shared" si="9"/>
        <v>20</v>
      </c>
    </row>
    <row r="22" spans="1:24" ht="30" customHeight="1">
      <c r="A22" s="4" t="s">
        <v>365</v>
      </c>
      <c r="B22" s="1" t="s">
        <v>117</v>
      </c>
      <c r="C22" s="1">
        <v>9</v>
      </c>
      <c r="D22" s="23">
        <f t="shared" si="3"/>
        <v>9.9</v>
      </c>
      <c r="E22" s="24">
        <f t="shared" si="0"/>
        <v>89.100000000000009</v>
      </c>
      <c r="F22" s="113"/>
      <c r="H22" s="128">
        <v>6.75</v>
      </c>
      <c r="I22" s="128"/>
      <c r="J22" s="128">
        <v>8.4499999999999993</v>
      </c>
      <c r="K22" s="128">
        <v>12.5</v>
      </c>
      <c r="L22" s="128">
        <v>7.5</v>
      </c>
      <c r="M22" s="128">
        <v>10</v>
      </c>
      <c r="N22" s="128">
        <v>14.22</v>
      </c>
      <c r="P22" s="126">
        <f t="shared" si="1"/>
        <v>9.9033333333333342</v>
      </c>
      <c r="Q22" s="126">
        <f t="shared" si="4"/>
        <v>4.9516666666666671</v>
      </c>
      <c r="R22" s="126">
        <f t="shared" si="5"/>
        <v>14.855</v>
      </c>
      <c r="T22" s="127">
        <f t="shared" si="2"/>
        <v>3</v>
      </c>
      <c r="U22" s="127">
        <f t="shared" si="8"/>
        <v>1</v>
      </c>
      <c r="V22" s="127">
        <v>37</v>
      </c>
      <c r="W22" s="127">
        <v>3</v>
      </c>
      <c r="X22" s="127">
        <f t="shared" si="9"/>
        <v>44</v>
      </c>
    </row>
    <row r="23" spans="1:24" ht="30" customHeight="1">
      <c r="A23" s="4" t="s">
        <v>366</v>
      </c>
      <c r="B23" s="1" t="s">
        <v>117</v>
      </c>
      <c r="C23" s="1">
        <v>6</v>
      </c>
      <c r="D23" s="23">
        <f>ROUND(AVERAGE(I23:N23),2)</f>
        <v>12.74</v>
      </c>
      <c r="E23" s="24">
        <f t="shared" si="0"/>
        <v>76.44</v>
      </c>
      <c r="F23" s="113"/>
      <c r="H23" s="125">
        <v>5.63</v>
      </c>
      <c r="I23" s="128">
        <v>16</v>
      </c>
      <c r="J23" s="128">
        <v>7.06</v>
      </c>
      <c r="K23" s="128">
        <v>15.15</v>
      </c>
      <c r="L23" s="128">
        <v>9</v>
      </c>
      <c r="M23" s="128">
        <v>14.65</v>
      </c>
      <c r="N23" s="128">
        <v>14.58</v>
      </c>
      <c r="P23" s="126">
        <f t="shared" si="1"/>
        <v>11.724285714285713</v>
      </c>
      <c r="Q23" s="126">
        <f t="shared" si="4"/>
        <v>5.8621428571428567</v>
      </c>
      <c r="R23" s="126">
        <f t="shared" si="5"/>
        <v>17.58642857142857</v>
      </c>
      <c r="T23" s="127">
        <f t="shared" si="2"/>
        <v>4</v>
      </c>
      <c r="U23" s="127">
        <f t="shared" si="8"/>
        <v>1</v>
      </c>
      <c r="V23" s="127">
        <v>34</v>
      </c>
      <c r="W23" s="127">
        <v>3</v>
      </c>
      <c r="X23" s="127">
        <f t="shared" si="9"/>
        <v>42</v>
      </c>
    </row>
    <row r="24" spans="1:24" ht="30" customHeight="1">
      <c r="A24" s="4" t="s">
        <v>367</v>
      </c>
      <c r="B24" s="1" t="s">
        <v>117</v>
      </c>
      <c r="C24" s="1">
        <v>12</v>
      </c>
      <c r="D24" s="23">
        <f>ROUND(AVERAGE(K24:N24),2)</f>
        <v>13.16</v>
      </c>
      <c r="E24" s="24">
        <f t="shared" si="0"/>
        <v>157.92000000000002</v>
      </c>
      <c r="F24" s="113"/>
      <c r="H24" s="128"/>
      <c r="I24" s="128"/>
      <c r="J24" s="128"/>
      <c r="K24" s="128">
        <v>10.6</v>
      </c>
      <c r="L24" s="128">
        <v>8.9</v>
      </c>
      <c r="M24" s="128">
        <v>17.64</v>
      </c>
      <c r="N24" s="128">
        <v>15.51</v>
      </c>
      <c r="P24" s="126">
        <f t="shared" si="1"/>
        <v>13.1625</v>
      </c>
      <c r="Q24" s="126">
        <f t="shared" si="4"/>
        <v>6.5812499999999998</v>
      </c>
      <c r="R24" s="126">
        <f t="shared" si="5"/>
        <v>19.743749999999999</v>
      </c>
      <c r="T24" s="127">
        <f t="shared" si="2"/>
        <v>1</v>
      </c>
      <c r="U24" s="127">
        <f t="shared" si="8"/>
        <v>1</v>
      </c>
      <c r="V24" s="127">
        <v>38</v>
      </c>
      <c r="W24" s="127">
        <v>3</v>
      </c>
      <c r="X24" s="127">
        <f t="shared" si="9"/>
        <v>43</v>
      </c>
    </row>
    <row r="25" spans="1:24" ht="30" customHeight="1">
      <c r="A25" s="104" t="s">
        <v>312</v>
      </c>
      <c r="B25" s="102" t="s">
        <v>117</v>
      </c>
      <c r="C25" s="105">
        <v>2</v>
      </c>
      <c r="D25" s="23">
        <f>ROUND(AVERAGE(H25:N25),2)</f>
        <v>21.03</v>
      </c>
      <c r="E25" s="24">
        <f t="shared" ref="E25" si="11">C25*D25</f>
        <v>42.06</v>
      </c>
      <c r="F25" s="113"/>
      <c r="H25" s="124"/>
      <c r="I25" s="124"/>
      <c r="J25" s="124">
        <v>27.92</v>
      </c>
      <c r="K25" s="124"/>
      <c r="L25" s="124">
        <v>19.8</v>
      </c>
      <c r="M25" s="124">
        <v>15</v>
      </c>
      <c r="N25" s="124">
        <v>21.4</v>
      </c>
      <c r="P25" s="126">
        <f t="shared" si="1"/>
        <v>21.03</v>
      </c>
      <c r="Q25" s="126">
        <f t="shared" si="4"/>
        <v>10.515000000000001</v>
      </c>
      <c r="R25" s="126">
        <f t="shared" si="5"/>
        <v>31.545000000000002</v>
      </c>
      <c r="T25" s="127">
        <f t="shared" si="2"/>
        <v>1</v>
      </c>
      <c r="U25" s="127">
        <f t="shared" si="8"/>
        <v>1</v>
      </c>
      <c r="V25" s="127">
        <v>21</v>
      </c>
      <c r="W25" s="127">
        <v>3</v>
      </c>
      <c r="X25" s="127">
        <f t="shared" si="9"/>
        <v>26</v>
      </c>
    </row>
    <row r="26" spans="1:24" s="18" customFormat="1" ht="30" customHeight="1">
      <c r="A26" s="301" t="s">
        <v>113</v>
      </c>
      <c r="B26" s="302"/>
      <c r="C26" s="302"/>
      <c r="D26" s="303"/>
      <c r="E26" s="15">
        <f>ROUND(SUM(E3:E25)/24,2)</f>
        <v>106.43</v>
      </c>
      <c r="M26" s="7"/>
      <c r="N26" s="7"/>
    </row>
    <row r="27" spans="1:24" s="18" customFormat="1" ht="30" customHeight="1">
      <c r="A27" s="298" t="s">
        <v>171</v>
      </c>
      <c r="B27" s="298"/>
      <c r="C27" s="298"/>
      <c r="D27" s="298"/>
      <c r="E27" s="17">
        <f>E26*24</f>
        <v>2554.3200000000002</v>
      </c>
      <c r="M27" s="7"/>
      <c r="N27" s="7"/>
    </row>
    <row r="28" spans="1:24" s="18" customFormat="1" ht="30" customHeight="1">
      <c r="A28" s="298" t="s">
        <v>114</v>
      </c>
      <c r="B28" s="298"/>
      <c r="C28" s="298"/>
      <c r="D28" s="298"/>
      <c r="E28" s="17">
        <f>E26/SERVENTE!J154</f>
        <v>50.680952380952384</v>
      </c>
      <c r="M28" s="7"/>
      <c r="N28" s="7"/>
    </row>
    <row r="29" spans="1:24">
      <c r="O29" s="18"/>
      <c r="P29" s="18"/>
    </row>
    <row r="30" spans="1:24" s="18" customFormat="1">
      <c r="M30" s="7"/>
      <c r="N30" s="7"/>
    </row>
    <row r="31" spans="1:24">
      <c r="O31" s="18"/>
      <c r="P31" s="18"/>
    </row>
    <row r="32" spans="1:24">
      <c r="O32" s="18"/>
      <c r="P32" s="18"/>
    </row>
    <row r="33" spans="13:16" s="18" customFormat="1">
      <c r="M33" s="7"/>
      <c r="N33" s="7"/>
    </row>
    <row r="34" spans="13:16">
      <c r="O34" s="18"/>
      <c r="P34" s="18"/>
    </row>
    <row r="35" spans="13:16">
      <c r="O35" s="18"/>
      <c r="P35" s="18"/>
    </row>
    <row r="36" spans="13:16">
      <c r="O36" s="18"/>
      <c r="P36" s="18"/>
    </row>
    <row r="37" spans="13:16">
      <c r="O37" s="18"/>
      <c r="P37" s="18"/>
    </row>
    <row r="38" spans="13:16">
      <c r="O38" s="18"/>
      <c r="P38" s="18"/>
    </row>
    <row r="39" spans="13:16">
      <c r="O39" s="18"/>
      <c r="P39" s="18"/>
    </row>
    <row r="40" spans="13:16" s="18" customFormat="1">
      <c r="M40" s="7"/>
      <c r="N40" s="7"/>
    </row>
    <row r="41" spans="13:16">
      <c r="O41" s="18"/>
      <c r="P41" s="18"/>
    </row>
    <row r="42" spans="13:16" s="18" customFormat="1">
      <c r="M42" s="7"/>
      <c r="N42" s="7"/>
    </row>
    <row r="43" spans="13:16">
      <c r="O43" s="18"/>
      <c r="P43" s="18"/>
    </row>
    <row r="44" spans="13:16">
      <c r="O44" s="18"/>
      <c r="P44" s="18"/>
    </row>
    <row r="45" spans="13:16" s="18" customFormat="1">
      <c r="M45" s="7"/>
      <c r="N45" s="7"/>
    </row>
    <row r="46" spans="13:16" s="18" customFormat="1">
      <c r="M46" s="7"/>
      <c r="N46" s="7"/>
    </row>
    <row r="47" spans="13:16" s="18" customFormat="1">
      <c r="M47" s="7"/>
      <c r="N47" s="7"/>
    </row>
    <row r="48" spans="13:16" s="18" customFormat="1" ht="30.75" customHeight="1">
      <c r="M48" s="7"/>
      <c r="N48" s="7"/>
    </row>
    <row r="49" spans="13:14" s="18" customFormat="1" ht="30.75" customHeight="1">
      <c r="M49" s="7"/>
      <c r="N49" s="7"/>
    </row>
    <row r="50" spans="13:14" s="18" customFormat="1" ht="21" customHeight="1">
      <c r="M50" s="7"/>
      <c r="N50" s="7"/>
    </row>
    <row r="56" spans="13:14" s="18" customFormat="1" ht="42" customHeight="1">
      <c r="M56" s="7"/>
      <c r="N56" s="7"/>
    </row>
    <row r="83" spans="13:14" s="18" customFormat="1" ht="26.25" customHeight="1">
      <c r="M83" s="7"/>
      <c r="N83" s="7"/>
    </row>
    <row r="84" spans="13:14" s="18" customFormat="1" ht="26.25" customHeight="1">
      <c r="M84" s="7"/>
      <c r="N84" s="7"/>
    </row>
    <row r="85" spans="13:14" s="18" customFormat="1" ht="26.25" customHeight="1">
      <c r="M85" s="7"/>
      <c r="N85" s="7"/>
    </row>
    <row r="86" spans="13:14" s="18" customFormat="1" ht="26.25" customHeight="1">
      <c r="M86" s="7"/>
      <c r="N86" s="7"/>
    </row>
    <row r="92" spans="13:14" s="18" customFormat="1" ht="16.5" customHeight="1">
      <c r="M92" s="7"/>
      <c r="N92" s="7"/>
    </row>
    <row r="94" spans="13:14" s="18" customFormat="1" ht="16.5" customHeight="1">
      <c r="M94" s="7"/>
      <c r="N94" s="7"/>
    </row>
  </sheetData>
  <mergeCells count="4">
    <mergeCell ref="A27:D27"/>
    <mergeCell ref="A28:D28"/>
    <mergeCell ref="A1:E1"/>
    <mergeCell ref="A26:D26"/>
  </mergeCells>
  <conditionalFormatting sqref="X3:X25">
    <cfRule type="cellIs" dxfId="1" priority="1" operator="lessThan">
      <formula>3</formula>
    </cfRule>
  </conditionalFormatting>
  <pageMargins left="0.51181102362204722" right="0.51181102362204722" top="0.78740157480314965" bottom="0.78740157480314965" header="0.31496062992125984" footer="0.31496062992125984"/>
  <pageSetup paperSize="9" scale="58" fitToHeight="0" orientation="portrait" r:id="rId1"/>
  <ignoredErrors>
    <ignoredError sqref="T3:T25 P14 D23" formulaRange="1"/>
    <ignoredError sqref="P16" formula="1"/>
    <ignoredError sqref="P7 D21" formula="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7">
    <pageSetUpPr fitToPage="1"/>
  </sheetPr>
  <dimension ref="A1:Z46"/>
  <sheetViews>
    <sheetView showGridLines="0" zoomScale="80" zoomScaleNormal="80" workbookViewId="0">
      <selection activeCell="A2" sqref="A2"/>
    </sheetView>
  </sheetViews>
  <sheetFormatPr defaultRowHeight="15"/>
  <cols>
    <col min="1" max="1" width="64.7109375" style="18" customWidth="1"/>
    <col min="2" max="2" width="15.42578125" style="18" customWidth="1"/>
    <col min="3" max="3" width="8.7109375" style="18" customWidth="1"/>
    <col min="4" max="4" width="15" style="18" customWidth="1"/>
    <col min="5" max="5" width="14.28515625" style="18" bestFit="1" customWidth="1"/>
    <col min="6" max="6" width="10.85546875" style="18" customWidth="1"/>
    <col min="7" max="7" width="14.42578125" style="18" bestFit="1" customWidth="1"/>
    <col min="8" max="8" width="16.42578125" style="18" customWidth="1"/>
    <col min="9" max="9" width="5.7109375" style="18" customWidth="1"/>
    <col min="10" max="16" width="15.7109375" style="18" customWidth="1"/>
    <col min="17" max="17" width="5.7109375" style="18" customWidth="1"/>
    <col min="18" max="20" width="15.7109375" style="18" customWidth="1"/>
    <col min="21" max="21" width="5.7109375" style="18" customWidth="1"/>
    <col min="22" max="26" width="15.7109375" style="18" customWidth="1"/>
    <col min="27" max="16384" width="9.140625" style="18"/>
  </cols>
  <sheetData>
    <row r="1" spans="1:26" ht="30" customHeight="1">
      <c r="A1" s="293" t="s">
        <v>100</v>
      </c>
      <c r="B1" s="293"/>
      <c r="C1" s="293"/>
      <c r="D1" s="293"/>
      <c r="E1" s="293"/>
      <c r="F1" s="293"/>
      <c r="G1" s="293"/>
      <c r="H1" s="293"/>
    </row>
    <row r="2" spans="1:26" ht="52.5" customHeight="1">
      <c r="A2" s="84" t="s">
        <v>380</v>
      </c>
      <c r="B2" s="84" t="s">
        <v>107</v>
      </c>
      <c r="C2" s="84" t="s">
        <v>304</v>
      </c>
      <c r="D2" s="84" t="s">
        <v>101</v>
      </c>
      <c r="E2" s="84" t="s">
        <v>102</v>
      </c>
      <c r="F2" s="84" t="s">
        <v>273</v>
      </c>
      <c r="G2" s="84" t="s">
        <v>272</v>
      </c>
      <c r="H2" s="84" t="s">
        <v>103</v>
      </c>
      <c r="J2" s="115" t="s">
        <v>323</v>
      </c>
      <c r="K2" s="115" t="s">
        <v>325</v>
      </c>
      <c r="L2" s="115" t="s">
        <v>326</v>
      </c>
      <c r="M2" s="115" t="s">
        <v>327</v>
      </c>
      <c r="N2" s="115" t="s">
        <v>357</v>
      </c>
      <c r="O2" s="115" t="s">
        <v>368</v>
      </c>
      <c r="P2" s="115" t="s">
        <v>384</v>
      </c>
      <c r="Q2" s="19"/>
      <c r="R2" s="115" t="s">
        <v>356</v>
      </c>
      <c r="S2" s="115" t="s">
        <v>354</v>
      </c>
      <c r="T2" s="115" t="s">
        <v>355</v>
      </c>
      <c r="V2" s="115" t="s">
        <v>358</v>
      </c>
      <c r="W2" s="115" t="s">
        <v>362</v>
      </c>
      <c r="X2" s="115" t="s">
        <v>359</v>
      </c>
      <c r="Y2" s="115" t="s">
        <v>360</v>
      </c>
      <c r="Z2" s="115" t="s">
        <v>361</v>
      </c>
    </row>
    <row r="3" spans="1:26" ht="30" customHeight="1">
      <c r="A3" s="104" t="s">
        <v>174</v>
      </c>
      <c r="B3" s="1" t="s">
        <v>117</v>
      </c>
      <c r="C3" s="1">
        <v>1</v>
      </c>
      <c r="D3" s="23">
        <f>ROUND(AVERAGE(J3:P3),2)</f>
        <v>522.19000000000005</v>
      </c>
      <c r="E3" s="2">
        <f>C3*D3</f>
        <v>522.19000000000005</v>
      </c>
      <c r="F3" s="3">
        <v>120</v>
      </c>
      <c r="G3" s="2">
        <f>ROUND(E3/F3,2)</f>
        <v>4.3499999999999996</v>
      </c>
      <c r="H3" s="2">
        <f>G3</f>
        <v>4.3499999999999996</v>
      </c>
      <c r="J3" s="128"/>
      <c r="K3" s="128"/>
      <c r="L3" s="128"/>
      <c r="M3" s="128"/>
      <c r="N3" s="128">
        <v>570</v>
      </c>
      <c r="O3" s="124">
        <v>499.99</v>
      </c>
      <c r="P3" s="124">
        <v>496.59</v>
      </c>
      <c r="Q3" s="20"/>
      <c r="R3" s="126">
        <f t="shared" ref="R3:R6" si="0">AVERAGE(J3:P3)</f>
        <v>522.19333333333327</v>
      </c>
      <c r="S3" s="126">
        <f>R3*0.5</f>
        <v>261.09666666666664</v>
      </c>
      <c r="T3" s="126">
        <f>R3*1.5</f>
        <v>783.29</v>
      </c>
      <c r="V3" s="127">
        <f t="shared" ref="V3:V8" si="1">COUNTA(J3:M3)</f>
        <v>0</v>
      </c>
      <c r="W3" s="127">
        <f>COUNTA(N3)</f>
        <v>1</v>
      </c>
      <c r="X3" s="127">
        <v>1</v>
      </c>
      <c r="Y3" s="127">
        <v>3</v>
      </c>
      <c r="Z3" s="127">
        <f>SUM(V3:Y3)</f>
        <v>5</v>
      </c>
    </row>
    <row r="4" spans="1:26" ht="30" customHeight="1">
      <c r="A4" s="104" t="s">
        <v>175</v>
      </c>
      <c r="B4" s="1" t="s">
        <v>117</v>
      </c>
      <c r="C4" s="1">
        <v>1</v>
      </c>
      <c r="D4" s="23">
        <f t="shared" ref="D4:D6" si="2">ROUND(AVERAGE(J4:P4),2)</f>
        <v>124.17</v>
      </c>
      <c r="E4" s="2">
        <f t="shared" ref="E4:E8" si="3">C4*D4</f>
        <v>124.17</v>
      </c>
      <c r="F4" s="3">
        <v>120</v>
      </c>
      <c r="G4" s="2">
        <f t="shared" ref="G4:G8" si="4">ROUND(E4/F4,2)</f>
        <v>1.03</v>
      </c>
      <c r="H4" s="2">
        <f t="shared" ref="H4:H8" si="5">G4</f>
        <v>1.03</v>
      </c>
      <c r="J4" s="128"/>
      <c r="K4" s="128"/>
      <c r="L4" s="128"/>
      <c r="M4" s="128"/>
      <c r="N4" s="128">
        <v>120</v>
      </c>
      <c r="O4" s="124">
        <v>121.5</v>
      </c>
      <c r="P4" s="124">
        <v>131.01</v>
      </c>
      <c r="Q4" s="20"/>
      <c r="R4" s="126">
        <f t="shared" si="0"/>
        <v>124.17</v>
      </c>
      <c r="S4" s="126">
        <f t="shared" ref="S4:S8" si="6">R4*0.5</f>
        <v>62.085000000000001</v>
      </c>
      <c r="T4" s="126">
        <f t="shared" ref="T4" si="7">R4*1.5</f>
        <v>186.255</v>
      </c>
      <c r="V4" s="127">
        <f t="shared" si="1"/>
        <v>0</v>
      </c>
      <c r="W4" s="127">
        <f t="shared" ref="W4:W8" si="8">COUNTA(N4)</f>
        <v>1</v>
      </c>
      <c r="X4" s="127">
        <v>4</v>
      </c>
      <c r="Y4" s="127">
        <v>3</v>
      </c>
      <c r="Z4" s="127">
        <f t="shared" ref="Z4:Z8" si="9">SUM(V4:Y4)</f>
        <v>8</v>
      </c>
    </row>
    <row r="5" spans="1:26" ht="30" customHeight="1">
      <c r="A5" s="4" t="s">
        <v>269</v>
      </c>
      <c r="B5" s="1" t="s">
        <v>117</v>
      </c>
      <c r="C5" s="1">
        <v>1</v>
      </c>
      <c r="D5" s="23">
        <f>ROUND(AVERAGE(J5,L5,O5:P5),2)</f>
        <v>354</v>
      </c>
      <c r="E5" s="2">
        <f t="shared" si="3"/>
        <v>354</v>
      </c>
      <c r="F5" s="3">
        <v>60</v>
      </c>
      <c r="G5" s="2">
        <f t="shared" si="4"/>
        <v>5.9</v>
      </c>
      <c r="H5" s="2">
        <f t="shared" si="5"/>
        <v>5.9</v>
      </c>
      <c r="J5" s="128">
        <v>271.62</v>
      </c>
      <c r="K5" s="128"/>
      <c r="L5" s="128">
        <v>382.3</v>
      </c>
      <c r="M5" s="128"/>
      <c r="N5" s="125">
        <v>600</v>
      </c>
      <c r="O5" s="124">
        <v>362.44</v>
      </c>
      <c r="P5" s="124">
        <v>399.63</v>
      </c>
      <c r="R5" s="126">
        <f>AVERAGE(J5,L5,O5:P5)</f>
        <v>353.99750000000006</v>
      </c>
      <c r="S5" s="126">
        <f t="shared" si="6"/>
        <v>176.99875000000003</v>
      </c>
      <c r="T5" s="126">
        <f t="shared" ref="T5:T8" si="10">R5*1.5</f>
        <v>530.99625000000015</v>
      </c>
      <c r="V5" s="127">
        <f t="shared" si="1"/>
        <v>2</v>
      </c>
      <c r="W5" s="127">
        <f t="shared" si="8"/>
        <v>1</v>
      </c>
      <c r="X5" s="127">
        <v>4</v>
      </c>
      <c r="Y5" s="127">
        <v>3</v>
      </c>
      <c r="Z5" s="127">
        <f t="shared" si="9"/>
        <v>10</v>
      </c>
    </row>
    <row r="6" spans="1:26" ht="30" customHeight="1">
      <c r="A6" s="4" t="s">
        <v>176</v>
      </c>
      <c r="B6" s="1" t="s">
        <v>117</v>
      </c>
      <c r="C6" s="1">
        <v>1</v>
      </c>
      <c r="D6" s="23">
        <f t="shared" si="2"/>
        <v>758.15</v>
      </c>
      <c r="E6" s="2">
        <f t="shared" si="3"/>
        <v>758.15</v>
      </c>
      <c r="F6" s="3">
        <v>60</v>
      </c>
      <c r="G6" s="2">
        <f t="shared" si="4"/>
        <v>12.64</v>
      </c>
      <c r="H6" s="2">
        <f t="shared" si="5"/>
        <v>12.64</v>
      </c>
      <c r="J6" s="128"/>
      <c r="K6" s="128"/>
      <c r="L6" s="128"/>
      <c r="M6" s="128"/>
      <c r="N6" s="128">
        <v>600</v>
      </c>
      <c r="O6" s="124">
        <v>944.58</v>
      </c>
      <c r="P6" s="124">
        <v>729.88</v>
      </c>
      <c r="R6" s="126">
        <f t="shared" si="0"/>
        <v>758.15333333333331</v>
      </c>
      <c r="S6" s="126">
        <f t="shared" si="6"/>
        <v>379.07666666666665</v>
      </c>
      <c r="T6" s="126">
        <f t="shared" si="10"/>
        <v>1137.23</v>
      </c>
      <c r="V6" s="127">
        <f t="shared" si="1"/>
        <v>0</v>
      </c>
      <c r="W6" s="127">
        <f t="shared" si="8"/>
        <v>1</v>
      </c>
      <c r="X6" s="127">
        <v>23</v>
      </c>
      <c r="Y6" s="127">
        <v>3</v>
      </c>
      <c r="Z6" s="127">
        <f t="shared" si="9"/>
        <v>27</v>
      </c>
    </row>
    <row r="7" spans="1:26" ht="30" customHeight="1">
      <c r="A7" s="4" t="s">
        <v>270</v>
      </c>
      <c r="B7" s="1" t="s">
        <v>117</v>
      </c>
      <c r="C7" s="1">
        <v>1</v>
      </c>
      <c r="D7" s="23">
        <f>ROUND(AVERAGE(J7,O7:P7),2)</f>
        <v>1788.65</v>
      </c>
      <c r="E7" s="2">
        <f t="shared" si="3"/>
        <v>1788.65</v>
      </c>
      <c r="F7" s="3">
        <v>60</v>
      </c>
      <c r="G7" s="2">
        <f t="shared" si="4"/>
        <v>29.81</v>
      </c>
      <c r="H7" s="2">
        <f t="shared" si="5"/>
        <v>29.81</v>
      </c>
      <c r="J7" s="128">
        <v>1465.87</v>
      </c>
      <c r="K7" s="128"/>
      <c r="L7" s="128"/>
      <c r="M7" s="128"/>
      <c r="N7" s="125">
        <v>680</v>
      </c>
      <c r="O7" s="124">
        <v>2017.49</v>
      </c>
      <c r="P7" s="124">
        <v>1882.6</v>
      </c>
      <c r="R7" s="126">
        <f>AVERAGE(J7,O7:P7)</f>
        <v>1788.653333333333</v>
      </c>
      <c r="S7" s="126">
        <f t="shared" si="6"/>
        <v>894.32666666666648</v>
      </c>
      <c r="T7" s="126">
        <f t="shared" si="10"/>
        <v>2682.9799999999996</v>
      </c>
      <c r="V7" s="127">
        <f t="shared" si="1"/>
        <v>1</v>
      </c>
      <c r="W7" s="127">
        <f t="shared" si="8"/>
        <v>1</v>
      </c>
      <c r="X7" s="127">
        <v>18</v>
      </c>
      <c r="Y7" s="127">
        <v>3</v>
      </c>
      <c r="Z7" s="127">
        <f t="shared" si="9"/>
        <v>23</v>
      </c>
    </row>
    <row r="8" spans="1:26" ht="30" customHeight="1">
      <c r="A8" s="4" t="s">
        <v>177</v>
      </c>
      <c r="B8" s="1" t="s">
        <v>117</v>
      </c>
      <c r="C8" s="1">
        <v>1</v>
      </c>
      <c r="D8" s="23">
        <f>ROUND(AVERAGE(L8,N8:P8),2)</f>
        <v>1020.78</v>
      </c>
      <c r="E8" s="2">
        <f t="shared" si="3"/>
        <v>1020.78</v>
      </c>
      <c r="F8" s="3">
        <v>60</v>
      </c>
      <c r="G8" s="2">
        <f t="shared" si="4"/>
        <v>17.010000000000002</v>
      </c>
      <c r="H8" s="2">
        <f t="shared" si="5"/>
        <v>17.010000000000002</v>
      </c>
      <c r="J8" s="125">
        <v>396.75</v>
      </c>
      <c r="K8" s="128"/>
      <c r="L8" s="128">
        <v>1301.5</v>
      </c>
      <c r="M8" s="128"/>
      <c r="N8" s="128">
        <v>1450</v>
      </c>
      <c r="O8" s="124">
        <v>559</v>
      </c>
      <c r="P8" s="124">
        <v>772.62</v>
      </c>
      <c r="R8" s="126">
        <f>AVERAGE(L8,N8:P8)</f>
        <v>1020.78</v>
      </c>
      <c r="S8" s="126">
        <f t="shared" si="6"/>
        <v>510.39</v>
      </c>
      <c r="T8" s="126">
        <f t="shared" si="10"/>
        <v>1531.17</v>
      </c>
      <c r="V8" s="127">
        <f t="shared" si="1"/>
        <v>2</v>
      </c>
      <c r="W8" s="127">
        <f t="shared" si="8"/>
        <v>1</v>
      </c>
      <c r="X8" s="127">
        <v>17</v>
      </c>
      <c r="Y8" s="127">
        <v>3</v>
      </c>
      <c r="Z8" s="127">
        <f t="shared" si="9"/>
        <v>23</v>
      </c>
    </row>
    <row r="9" spans="1:26" ht="30" customHeight="1">
      <c r="A9" s="304" t="s">
        <v>104</v>
      </c>
      <c r="B9" s="305"/>
      <c r="C9" s="305"/>
      <c r="D9" s="305"/>
      <c r="E9" s="305"/>
      <c r="F9" s="305"/>
      <c r="G9" s="306"/>
      <c r="H9" s="26">
        <f>SUM(H3:H8)</f>
        <v>70.740000000000009</v>
      </c>
    </row>
    <row r="10" spans="1:26" ht="30" customHeight="1">
      <c r="A10" s="304" t="s">
        <v>179</v>
      </c>
      <c r="B10" s="305"/>
      <c r="C10" s="305"/>
      <c r="D10" s="305"/>
      <c r="E10" s="305"/>
      <c r="F10" s="305"/>
      <c r="G10" s="306"/>
      <c r="H10" s="26">
        <f>H9*24</f>
        <v>1697.7600000000002</v>
      </c>
    </row>
    <row r="11" spans="1:26" ht="30" customHeight="1">
      <c r="A11" s="307" t="s">
        <v>105</v>
      </c>
      <c r="B11" s="308"/>
      <c r="C11" s="308"/>
      <c r="D11" s="308"/>
      <c r="E11" s="308"/>
      <c r="F11" s="308"/>
      <c r="G11" s="309"/>
      <c r="H11" s="26">
        <f>H9/SERVENTE!J154</f>
        <v>33.68571428571429</v>
      </c>
    </row>
    <row r="18" spans="1:1">
      <c r="A18" s="11"/>
    </row>
    <row r="19" spans="1:1">
      <c r="A19" s="11"/>
    </row>
    <row r="20" spans="1:1">
      <c r="A20" s="11"/>
    </row>
    <row r="21" spans="1:1">
      <c r="A21" s="11"/>
    </row>
    <row r="22" spans="1:1">
      <c r="A22" s="11"/>
    </row>
    <row r="23" spans="1:1">
      <c r="A23" s="11"/>
    </row>
    <row r="24" spans="1:1">
      <c r="A24" s="11"/>
    </row>
    <row r="25" spans="1:1">
      <c r="A25" s="11"/>
    </row>
    <row r="26" spans="1:1">
      <c r="A26" s="11"/>
    </row>
    <row r="27" spans="1:1">
      <c r="A27" s="11"/>
    </row>
    <row r="28" spans="1:1">
      <c r="A28" s="11"/>
    </row>
    <row r="29" spans="1:1">
      <c r="A29" s="11"/>
    </row>
    <row r="45" s="25" customFormat="1"/>
    <row r="46" s="25" customFormat="1"/>
  </sheetData>
  <mergeCells count="4">
    <mergeCell ref="A10:G10"/>
    <mergeCell ref="A11:G11"/>
    <mergeCell ref="A1:H1"/>
    <mergeCell ref="A9:G9"/>
  </mergeCells>
  <conditionalFormatting sqref="Z3:Z8">
    <cfRule type="cellIs" dxfId="0" priority="1" operator="lessThan">
      <formula>3</formula>
    </cfRule>
  </conditionalFormatting>
  <pageMargins left="0.51181102362204722" right="0.51181102362204722" top="0.78740157480314965" bottom="0.78740157480314965" header="0.31496062992125984" footer="0.31496062992125984"/>
  <pageSetup paperSize="9" scale="58" orientation="portrait" r:id="rId1"/>
  <ignoredErrors>
    <ignoredError sqref="V3:V8 R6:R7 D7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8"/>
  <dimension ref="B1:I732"/>
  <sheetViews>
    <sheetView zoomScale="85" zoomScaleNormal="85" workbookViewId="0">
      <selection activeCell="H4" sqref="H4"/>
    </sheetView>
  </sheetViews>
  <sheetFormatPr defaultRowHeight="15"/>
  <cols>
    <col min="1" max="1" width="2.85546875" customWidth="1"/>
    <col min="2" max="2" width="15.7109375" style="27" customWidth="1"/>
    <col min="3" max="3" width="14.85546875" style="27" bestFit="1" customWidth="1"/>
    <col min="4" max="4" width="52.28515625" style="27" bestFit="1" customWidth="1"/>
    <col min="5" max="5" width="10" customWidth="1"/>
    <col min="6" max="6" width="2.85546875" customWidth="1"/>
    <col min="7" max="7" width="40.85546875" bestFit="1" customWidth="1"/>
    <col min="8" max="8" width="7.85546875" customWidth="1"/>
    <col min="10" max="10" width="17.85546875" bestFit="1" customWidth="1"/>
  </cols>
  <sheetData>
    <row r="1" spans="2:9">
      <c r="B1" s="30" t="s">
        <v>305</v>
      </c>
      <c r="C1" s="30" t="s">
        <v>188</v>
      </c>
      <c r="D1" s="30" t="s">
        <v>274</v>
      </c>
      <c r="E1" s="30" t="s">
        <v>275</v>
      </c>
      <c r="G1" s="29" t="s">
        <v>276</v>
      </c>
      <c r="H1" s="29">
        <f>COUNTIF(E:E,"sim")</f>
        <v>499</v>
      </c>
    </row>
    <row r="2" spans="2:9">
      <c r="B2" s="32">
        <v>45200</v>
      </c>
      <c r="C2" s="33">
        <f>WEEKDAY(B2)</f>
        <v>1</v>
      </c>
      <c r="E2" s="27" t="str">
        <f>IF(D2&lt;&gt;"","não",IF(OR(C2=1,C2=7),"não","sim"))</f>
        <v>não</v>
      </c>
      <c r="G2" s="28" t="s">
        <v>290</v>
      </c>
      <c r="H2" s="28">
        <f>ROUND(H1/24,2)</f>
        <v>20.79</v>
      </c>
    </row>
    <row r="3" spans="2:9">
      <c r="B3" s="32">
        <v>45201</v>
      </c>
      <c r="C3" s="33">
        <f t="shared" ref="C3:C66" si="0">WEEKDAY(B3)</f>
        <v>2</v>
      </c>
      <c r="E3" s="27" t="str">
        <f t="shared" ref="E3:E66" si="1">IF(D3&lt;&gt;"","não",IF(OR(C3=1,C3=7),"não","sim"))</f>
        <v>sim</v>
      </c>
    </row>
    <row r="4" spans="2:9">
      <c r="B4" s="32">
        <v>45202</v>
      </c>
      <c r="C4" s="33">
        <f t="shared" si="0"/>
        <v>3</v>
      </c>
      <c r="E4" s="27" t="str">
        <f t="shared" si="1"/>
        <v>sim</v>
      </c>
      <c r="G4" s="5"/>
      <c r="H4" s="5"/>
      <c r="I4" s="5"/>
    </row>
    <row r="5" spans="2:9">
      <c r="B5" s="32">
        <v>45203</v>
      </c>
      <c r="C5" s="33">
        <f t="shared" si="0"/>
        <v>4</v>
      </c>
      <c r="E5" s="27" t="str">
        <f t="shared" si="1"/>
        <v>sim</v>
      </c>
      <c r="G5" s="5"/>
      <c r="H5" s="5"/>
      <c r="I5" s="5"/>
    </row>
    <row r="6" spans="2:9">
      <c r="B6" s="32">
        <v>45204</v>
      </c>
      <c r="C6" s="33">
        <f t="shared" si="0"/>
        <v>5</v>
      </c>
      <c r="E6" s="27" t="str">
        <f t="shared" si="1"/>
        <v>sim</v>
      </c>
      <c r="G6" s="5"/>
      <c r="H6" s="5"/>
      <c r="I6" s="5"/>
    </row>
    <row r="7" spans="2:9">
      <c r="B7" s="32">
        <v>45205</v>
      </c>
      <c r="C7" s="33">
        <f t="shared" si="0"/>
        <v>6</v>
      </c>
      <c r="E7" s="27" t="str">
        <f t="shared" si="1"/>
        <v>sim</v>
      </c>
      <c r="G7" s="5"/>
      <c r="H7" s="5"/>
      <c r="I7" s="5"/>
    </row>
    <row r="8" spans="2:9">
      <c r="B8" s="32">
        <v>45206</v>
      </c>
      <c r="C8" s="33">
        <f t="shared" si="0"/>
        <v>7</v>
      </c>
      <c r="E8" s="27" t="str">
        <f t="shared" si="1"/>
        <v>não</v>
      </c>
      <c r="G8" s="31"/>
      <c r="H8" s="31"/>
      <c r="I8" s="5"/>
    </row>
    <row r="9" spans="2:9">
      <c r="B9" s="32">
        <v>45207</v>
      </c>
      <c r="C9" s="33">
        <f t="shared" si="0"/>
        <v>1</v>
      </c>
      <c r="E9" s="27" t="str">
        <f t="shared" si="1"/>
        <v>não</v>
      </c>
      <c r="G9" s="5"/>
      <c r="H9" s="5"/>
      <c r="I9" s="5"/>
    </row>
    <row r="10" spans="2:9">
      <c r="B10" s="32">
        <v>45208</v>
      </c>
      <c r="C10" s="33">
        <f t="shared" si="0"/>
        <v>2</v>
      </c>
      <c r="E10" s="27" t="str">
        <f t="shared" si="1"/>
        <v>sim</v>
      </c>
      <c r="G10" s="5"/>
      <c r="H10" s="5"/>
      <c r="I10" s="5"/>
    </row>
    <row r="11" spans="2:9">
      <c r="B11" s="32">
        <v>45209</v>
      </c>
      <c r="C11" s="33">
        <f t="shared" si="0"/>
        <v>3</v>
      </c>
      <c r="E11" s="27" t="str">
        <f t="shared" si="1"/>
        <v>sim</v>
      </c>
      <c r="F11" s="6"/>
      <c r="G11" s="5"/>
      <c r="H11" s="5"/>
      <c r="I11" s="5"/>
    </row>
    <row r="12" spans="2:9">
      <c r="B12" s="32">
        <v>45210</v>
      </c>
      <c r="C12" s="33">
        <f t="shared" si="0"/>
        <v>4</v>
      </c>
      <c r="E12" s="27" t="str">
        <f t="shared" si="1"/>
        <v>sim</v>
      </c>
      <c r="F12" s="6"/>
      <c r="G12" s="5"/>
      <c r="H12" s="5"/>
      <c r="I12" s="5"/>
    </row>
    <row r="13" spans="2:9">
      <c r="B13" s="32">
        <v>45211</v>
      </c>
      <c r="C13" s="33">
        <f t="shared" si="0"/>
        <v>5</v>
      </c>
      <c r="D13" s="27" t="s">
        <v>277</v>
      </c>
      <c r="E13" s="27" t="str">
        <f t="shared" si="1"/>
        <v>não</v>
      </c>
      <c r="F13" s="6"/>
      <c r="G13" s="5"/>
      <c r="H13" s="5"/>
      <c r="I13" s="5"/>
    </row>
    <row r="14" spans="2:9">
      <c r="B14" s="32">
        <v>45212</v>
      </c>
      <c r="C14" s="33">
        <f t="shared" si="0"/>
        <v>6</v>
      </c>
      <c r="E14" s="27" t="str">
        <f t="shared" si="1"/>
        <v>sim</v>
      </c>
      <c r="F14" s="6"/>
    </row>
    <row r="15" spans="2:9">
      <c r="B15" s="32">
        <v>45213</v>
      </c>
      <c r="C15" s="33">
        <f t="shared" si="0"/>
        <v>7</v>
      </c>
      <c r="E15" s="27" t="str">
        <f t="shared" si="1"/>
        <v>não</v>
      </c>
      <c r="F15" s="6"/>
    </row>
    <row r="16" spans="2:9">
      <c r="B16" s="32">
        <v>45214</v>
      </c>
      <c r="C16" s="33">
        <f t="shared" si="0"/>
        <v>1</v>
      </c>
      <c r="E16" s="27" t="str">
        <f t="shared" si="1"/>
        <v>não</v>
      </c>
      <c r="F16" s="6"/>
    </row>
    <row r="17" spans="2:6">
      <c r="B17" s="32">
        <v>45215</v>
      </c>
      <c r="C17" s="33">
        <f t="shared" si="0"/>
        <v>2</v>
      </c>
      <c r="E17" s="27" t="str">
        <f t="shared" si="1"/>
        <v>sim</v>
      </c>
      <c r="F17" s="6"/>
    </row>
    <row r="18" spans="2:6">
      <c r="B18" s="32">
        <v>45216</v>
      </c>
      <c r="C18" s="33">
        <f t="shared" si="0"/>
        <v>3</v>
      </c>
      <c r="E18" s="27" t="str">
        <f t="shared" si="1"/>
        <v>sim</v>
      </c>
      <c r="F18" s="6"/>
    </row>
    <row r="19" spans="2:6">
      <c r="B19" s="32">
        <v>45217</v>
      </c>
      <c r="C19" s="33">
        <f t="shared" si="0"/>
        <v>4</v>
      </c>
      <c r="E19" s="27" t="str">
        <f t="shared" si="1"/>
        <v>sim</v>
      </c>
      <c r="F19" s="6"/>
    </row>
    <row r="20" spans="2:6">
      <c r="B20" s="32">
        <v>45218</v>
      </c>
      <c r="C20" s="33">
        <f t="shared" si="0"/>
        <v>5</v>
      </c>
      <c r="E20" s="27" t="str">
        <f t="shared" si="1"/>
        <v>sim</v>
      </c>
      <c r="F20" s="6"/>
    </row>
    <row r="21" spans="2:6">
      <c r="B21" s="32">
        <v>45219</v>
      </c>
      <c r="C21" s="33">
        <f t="shared" si="0"/>
        <v>6</v>
      </c>
      <c r="E21" s="27" t="str">
        <f t="shared" si="1"/>
        <v>sim</v>
      </c>
      <c r="F21" s="6"/>
    </row>
    <row r="22" spans="2:6">
      <c r="B22" s="32">
        <v>45220</v>
      </c>
      <c r="C22" s="33">
        <f t="shared" si="0"/>
        <v>7</v>
      </c>
      <c r="E22" s="27" t="str">
        <f t="shared" si="1"/>
        <v>não</v>
      </c>
      <c r="F22" s="6"/>
    </row>
    <row r="23" spans="2:6">
      <c r="B23" s="32">
        <v>45221</v>
      </c>
      <c r="C23" s="33">
        <f t="shared" si="0"/>
        <v>1</v>
      </c>
      <c r="E23" s="27" t="str">
        <f t="shared" si="1"/>
        <v>não</v>
      </c>
      <c r="F23" s="6"/>
    </row>
    <row r="24" spans="2:6">
      <c r="B24" s="32">
        <v>45222</v>
      </c>
      <c r="C24" s="33">
        <f t="shared" si="0"/>
        <v>2</v>
      </c>
      <c r="E24" s="27" t="str">
        <f t="shared" si="1"/>
        <v>sim</v>
      </c>
      <c r="F24" s="6"/>
    </row>
    <row r="25" spans="2:6">
      <c r="B25" s="32">
        <v>45223</v>
      </c>
      <c r="C25" s="33">
        <f t="shared" si="0"/>
        <v>3</v>
      </c>
      <c r="D25" s="27" t="s">
        <v>185</v>
      </c>
      <c r="E25" s="27" t="str">
        <f t="shared" si="1"/>
        <v>não</v>
      </c>
      <c r="F25" s="6"/>
    </row>
    <row r="26" spans="2:6">
      <c r="B26" s="32">
        <v>45224</v>
      </c>
      <c r="C26" s="33">
        <f t="shared" si="0"/>
        <v>4</v>
      </c>
      <c r="E26" s="27" t="str">
        <f t="shared" si="1"/>
        <v>sim</v>
      </c>
      <c r="F26" s="6"/>
    </row>
    <row r="27" spans="2:6">
      <c r="B27" s="32">
        <v>45225</v>
      </c>
      <c r="C27" s="33">
        <f t="shared" si="0"/>
        <v>5</v>
      </c>
      <c r="E27" s="27" t="str">
        <f t="shared" si="1"/>
        <v>sim</v>
      </c>
      <c r="F27" s="6"/>
    </row>
    <row r="28" spans="2:6">
      <c r="B28" s="32">
        <v>45226</v>
      </c>
      <c r="C28" s="33">
        <f t="shared" si="0"/>
        <v>6</v>
      </c>
      <c r="E28" s="27" t="str">
        <f t="shared" si="1"/>
        <v>sim</v>
      </c>
      <c r="F28" s="6"/>
    </row>
    <row r="29" spans="2:6">
      <c r="B29" s="32">
        <v>45227</v>
      </c>
      <c r="C29" s="33">
        <f t="shared" si="0"/>
        <v>7</v>
      </c>
      <c r="D29" s="27" t="s">
        <v>186</v>
      </c>
      <c r="E29" s="27" t="str">
        <f t="shared" si="1"/>
        <v>não</v>
      </c>
      <c r="F29" s="6"/>
    </row>
    <row r="30" spans="2:6">
      <c r="B30" s="32">
        <v>45228</v>
      </c>
      <c r="C30" s="33">
        <f t="shared" si="0"/>
        <v>1</v>
      </c>
      <c r="E30" s="27" t="str">
        <f t="shared" si="1"/>
        <v>não</v>
      </c>
      <c r="F30" s="6"/>
    </row>
    <row r="31" spans="2:6">
      <c r="B31" s="32">
        <v>45229</v>
      </c>
      <c r="C31" s="33">
        <f t="shared" si="0"/>
        <v>2</v>
      </c>
      <c r="E31" s="27" t="str">
        <f t="shared" si="1"/>
        <v>sim</v>
      </c>
      <c r="F31" s="6"/>
    </row>
    <row r="32" spans="2:6">
      <c r="B32" s="32">
        <v>45230</v>
      </c>
      <c r="C32" s="33">
        <f t="shared" si="0"/>
        <v>3</v>
      </c>
      <c r="E32" s="27" t="str">
        <f t="shared" si="1"/>
        <v>sim</v>
      </c>
      <c r="F32" s="6"/>
    </row>
    <row r="33" spans="2:6">
      <c r="B33" s="32">
        <v>45231</v>
      </c>
      <c r="C33" s="33">
        <f t="shared" si="0"/>
        <v>4</v>
      </c>
      <c r="E33" s="27" t="str">
        <f t="shared" si="1"/>
        <v>sim</v>
      </c>
      <c r="F33" s="6"/>
    </row>
    <row r="34" spans="2:6">
      <c r="B34" s="32">
        <v>45232</v>
      </c>
      <c r="C34" s="33">
        <f t="shared" si="0"/>
        <v>5</v>
      </c>
      <c r="D34" s="27" t="s">
        <v>278</v>
      </c>
      <c r="E34" s="27" t="str">
        <f t="shared" si="1"/>
        <v>não</v>
      </c>
      <c r="F34" s="6"/>
    </row>
    <row r="35" spans="2:6">
      <c r="B35" s="32">
        <v>45233</v>
      </c>
      <c r="C35" s="33">
        <f t="shared" si="0"/>
        <v>6</v>
      </c>
      <c r="E35" s="27" t="str">
        <f t="shared" si="1"/>
        <v>sim</v>
      </c>
    </row>
    <row r="36" spans="2:6">
      <c r="B36" s="32">
        <v>45234</v>
      </c>
      <c r="C36" s="33">
        <f t="shared" si="0"/>
        <v>7</v>
      </c>
      <c r="E36" s="27" t="str">
        <f t="shared" si="1"/>
        <v>não</v>
      </c>
    </row>
    <row r="37" spans="2:6">
      <c r="B37" s="32">
        <v>45235</v>
      </c>
      <c r="C37" s="33">
        <f t="shared" si="0"/>
        <v>1</v>
      </c>
      <c r="E37" s="27" t="str">
        <f t="shared" si="1"/>
        <v>não</v>
      </c>
    </row>
    <row r="38" spans="2:6">
      <c r="B38" s="32">
        <v>45236</v>
      </c>
      <c r="C38" s="33">
        <f t="shared" si="0"/>
        <v>2</v>
      </c>
      <c r="E38" s="27" t="str">
        <f t="shared" si="1"/>
        <v>sim</v>
      </c>
    </row>
    <row r="39" spans="2:6">
      <c r="B39" s="32">
        <v>45237</v>
      </c>
      <c r="C39" s="33">
        <f t="shared" si="0"/>
        <v>3</v>
      </c>
      <c r="E39" s="27" t="str">
        <f t="shared" si="1"/>
        <v>sim</v>
      </c>
    </row>
    <row r="40" spans="2:6">
      <c r="B40" s="32">
        <v>45238</v>
      </c>
      <c r="C40" s="33">
        <f t="shared" si="0"/>
        <v>4</v>
      </c>
      <c r="E40" s="27" t="str">
        <f t="shared" si="1"/>
        <v>sim</v>
      </c>
    </row>
    <row r="41" spans="2:6">
      <c r="B41" s="32">
        <v>45239</v>
      </c>
      <c r="C41" s="33">
        <f t="shared" si="0"/>
        <v>5</v>
      </c>
      <c r="E41" s="27" t="str">
        <f t="shared" si="1"/>
        <v>sim</v>
      </c>
    </row>
    <row r="42" spans="2:6">
      <c r="B42" s="32">
        <v>45240</v>
      </c>
      <c r="C42" s="33">
        <f t="shared" si="0"/>
        <v>6</v>
      </c>
      <c r="E42" s="27" t="str">
        <f t="shared" si="1"/>
        <v>sim</v>
      </c>
    </row>
    <row r="43" spans="2:6">
      <c r="B43" s="32">
        <v>45241</v>
      </c>
      <c r="C43" s="33">
        <f t="shared" si="0"/>
        <v>7</v>
      </c>
      <c r="E43" s="27" t="str">
        <f t="shared" si="1"/>
        <v>não</v>
      </c>
    </row>
    <row r="44" spans="2:6">
      <c r="B44" s="32">
        <v>45242</v>
      </c>
      <c r="C44" s="33">
        <f t="shared" si="0"/>
        <v>1</v>
      </c>
      <c r="E44" s="27" t="str">
        <f t="shared" si="1"/>
        <v>não</v>
      </c>
    </row>
    <row r="45" spans="2:6">
      <c r="B45" s="32">
        <v>45243</v>
      </c>
      <c r="C45" s="33">
        <f t="shared" si="0"/>
        <v>2</v>
      </c>
      <c r="E45" s="27" t="str">
        <f t="shared" si="1"/>
        <v>sim</v>
      </c>
    </row>
    <row r="46" spans="2:6">
      <c r="B46" s="32">
        <v>45244</v>
      </c>
      <c r="C46" s="33">
        <f t="shared" si="0"/>
        <v>3</v>
      </c>
      <c r="E46" s="27" t="str">
        <f t="shared" si="1"/>
        <v>sim</v>
      </c>
    </row>
    <row r="47" spans="2:6">
      <c r="B47" s="32">
        <v>45245</v>
      </c>
      <c r="C47" s="33">
        <f t="shared" si="0"/>
        <v>4</v>
      </c>
      <c r="D47" s="27" t="s">
        <v>279</v>
      </c>
      <c r="E47" s="27" t="str">
        <f t="shared" si="1"/>
        <v>não</v>
      </c>
    </row>
    <row r="48" spans="2:6">
      <c r="B48" s="32">
        <v>45246</v>
      </c>
      <c r="C48" s="33">
        <f t="shared" si="0"/>
        <v>5</v>
      </c>
      <c r="E48" s="27" t="str">
        <f t="shared" si="1"/>
        <v>sim</v>
      </c>
    </row>
    <row r="49" spans="2:5">
      <c r="B49" s="32">
        <v>45247</v>
      </c>
      <c r="C49" s="33">
        <f t="shared" si="0"/>
        <v>6</v>
      </c>
      <c r="E49" s="27" t="str">
        <f t="shared" si="1"/>
        <v>sim</v>
      </c>
    </row>
    <row r="50" spans="2:5">
      <c r="B50" s="32">
        <v>45248</v>
      </c>
      <c r="C50" s="33">
        <f t="shared" si="0"/>
        <v>7</v>
      </c>
      <c r="E50" s="27" t="str">
        <f t="shared" si="1"/>
        <v>não</v>
      </c>
    </row>
    <row r="51" spans="2:5">
      <c r="B51" s="32">
        <v>45249</v>
      </c>
      <c r="C51" s="33">
        <f t="shared" si="0"/>
        <v>1</v>
      </c>
      <c r="E51" s="27" t="str">
        <f t="shared" si="1"/>
        <v>não</v>
      </c>
    </row>
    <row r="52" spans="2:5">
      <c r="B52" s="32">
        <v>45250</v>
      </c>
      <c r="C52" s="33">
        <f t="shared" si="0"/>
        <v>2</v>
      </c>
      <c r="E52" s="27" t="str">
        <f t="shared" si="1"/>
        <v>sim</v>
      </c>
    </row>
    <row r="53" spans="2:5">
      <c r="B53" s="32">
        <v>45251</v>
      </c>
      <c r="C53" s="33">
        <f t="shared" si="0"/>
        <v>3</v>
      </c>
      <c r="E53" s="27" t="str">
        <f t="shared" si="1"/>
        <v>sim</v>
      </c>
    </row>
    <row r="54" spans="2:5">
      <c r="B54" s="32">
        <v>45252</v>
      </c>
      <c r="C54" s="33">
        <f t="shared" si="0"/>
        <v>4</v>
      </c>
      <c r="E54" s="27" t="str">
        <f t="shared" si="1"/>
        <v>sim</v>
      </c>
    </row>
    <row r="55" spans="2:5">
      <c r="B55" s="32">
        <v>45253</v>
      </c>
      <c r="C55" s="33">
        <f t="shared" si="0"/>
        <v>5</v>
      </c>
      <c r="E55" s="27" t="str">
        <f t="shared" si="1"/>
        <v>sim</v>
      </c>
    </row>
    <row r="56" spans="2:5">
      <c r="B56" s="32">
        <v>45254</v>
      </c>
      <c r="C56" s="33">
        <f t="shared" si="0"/>
        <v>6</v>
      </c>
      <c r="E56" s="27" t="str">
        <f t="shared" si="1"/>
        <v>sim</v>
      </c>
    </row>
    <row r="57" spans="2:5">
      <c r="B57" s="32">
        <v>45255</v>
      </c>
      <c r="C57" s="33">
        <f t="shared" si="0"/>
        <v>7</v>
      </c>
      <c r="E57" s="27" t="str">
        <f t="shared" si="1"/>
        <v>não</v>
      </c>
    </row>
    <row r="58" spans="2:5">
      <c r="B58" s="32">
        <v>45256</v>
      </c>
      <c r="C58" s="33">
        <f t="shared" si="0"/>
        <v>1</v>
      </c>
      <c r="E58" s="27" t="str">
        <f t="shared" si="1"/>
        <v>não</v>
      </c>
    </row>
    <row r="59" spans="2:5">
      <c r="B59" s="32">
        <v>45257</v>
      </c>
      <c r="C59" s="33">
        <f t="shared" si="0"/>
        <v>2</v>
      </c>
      <c r="E59" s="27" t="str">
        <f t="shared" si="1"/>
        <v>sim</v>
      </c>
    </row>
    <row r="60" spans="2:5">
      <c r="B60" s="32">
        <v>45258</v>
      </c>
      <c r="C60" s="33">
        <f t="shared" si="0"/>
        <v>3</v>
      </c>
      <c r="E60" s="27" t="str">
        <f t="shared" si="1"/>
        <v>sim</v>
      </c>
    </row>
    <row r="61" spans="2:5">
      <c r="B61" s="32">
        <v>45259</v>
      </c>
      <c r="C61" s="33">
        <f t="shared" si="0"/>
        <v>4</v>
      </c>
      <c r="E61" s="27" t="str">
        <f t="shared" si="1"/>
        <v>sim</v>
      </c>
    </row>
    <row r="62" spans="2:5">
      <c r="B62" s="32">
        <v>45260</v>
      </c>
      <c r="C62" s="33">
        <f t="shared" si="0"/>
        <v>5</v>
      </c>
      <c r="E62" s="27" t="str">
        <f t="shared" si="1"/>
        <v>sim</v>
      </c>
    </row>
    <row r="63" spans="2:5">
      <c r="B63" s="32">
        <v>45261</v>
      </c>
      <c r="C63" s="33">
        <f t="shared" si="0"/>
        <v>6</v>
      </c>
      <c r="E63" s="27" t="str">
        <f t="shared" si="1"/>
        <v>sim</v>
      </c>
    </row>
    <row r="64" spans="2:5">
      <c r="B64" s="32">
        <v>45262</v>
      </c>
      <c r="C64" s="33">
        <f t="shared" si="0"/>
        <v>7</v>
      </c>
      <c r="E64" s="27" t="str">
        <f t="shared" si="1"/>
        <v>não</v>
      </c>
    </row>
    <row r="65" spans="2:5">
      <c r="B65" s="32">
        <v>45263</v>
      </c>
      <c r="C65" s="33">
        <f t="shared" si="0"/>
        <v>1</v>
      </c>
      <c r="E65" s="27" t="str">
        <f t="shared" si="1"/>
        <v>não</v>
      </c>
    </row>
    <row r="66" spans="2:5">
      <c r="B66" s="32">
        <v>45264</v>
      </c>
      <c r="C66" s="33">
        <f t="shared" si="0"/>
        <v>2</v>
      </c>
      <c r="E66" s="27" t="str">
        <f t="shared" si="1"/>
        <v>sim</v>
      </c>
    </row>
    <row r="67" spans="2:5">
      <c r="B67" s="32">
        <v>45265</v>
      </c>
      <c r="C67" s="33">
        <f t="shared" ref="C67:C130" si="2">WEEKDAY(B67)</f>
        <v>3</v>
      </c>
      <c r="E67" s="27" t="str">
        <f t="shared" ref="E67:E130" si="3">IF(D67&lt;&gt;"","não",IF(OR(C67=1,C67=7),"não","sim"))</f>
        <v>sim</v>
      </c>
    </row>
    <row r="68" spans="2:5">
      <c r="B68" s="32">
        <v>45266</v>
      </c>
      <c r="C68" s="33">
        <f t="shared" si="2"/>
        <v>4</v>
      </c>
      <c r="E68" s="27" t="str">
        <f t="shared" si="3"/>
        <v>sim</v>
      </c>
    </row>
    <row r="69" spans="2:5">
      <c r="B69" s="32">
        <v>45267</v>
      </c>
      <c r="C69" s="33">
        <f t="shared" si="2"/>
        <v>5</v>
      </c>
      <c r="E69" s="27" t="str">
        <f t="shared" si="3"/>
        <v>sim</v>
      </c>
    </row>
    <row r="70" spans="2:5">
      <c r="B70" s="32">
        <v>45268</v>
      </c>
      <c r="C70" s="33">
        <f t="shared" si="2"/>
        <v>6</v>
      </c>
      <c r="E70" s="27" t="str">
        <f t="shared" si="3"/>
        <v>sim</v>
      </c>
    </row>
    <row r="71" spans="2:5">
      <c r="B71" s="32">
        <v>45269</v>
      </c>
      <c r="C71" s="33">
        <f t="shared" si="2"/>
        <v>7</v>
      </c>
      <c r="E71" s="27" t="str">
        <f t="shared" si="3"/>
        <v>não</v>
      </c>
    </row>
    <row r="72" spans="2:5">
      <c r="B72" s="32">
        <v>45270</v>
      </c>
      <c r="C72" s="33">
        <f t="shared" si="2"/>
        <v>1</v>
      </c>
      <c r="E72" s="27" t="str">
        <f t="shared" si="3"/>
        <v>não</v>
      </c>
    </row>
    <row r="73" spans="2:5">
      <c r="B73" s="32">
        <v>45271</v>
      </c>
      <c r="C73" s="33">
        <f t="shared" si="2"/>
        <v>2</v>
      </c>
      <c r="E73" s="27" t="str">
        <f t="shared" si="3"/>
        <v>sim</v>
      </c>
    </row>
    <row r="74" spans="2:5">
      <c r="B74" s="32">
        <v>45272</v>
      </c>
      <c r="C74" s="33">
        <f t="shared" si="2"/>
        <v>3</v>
      </c>
      <c r="E74" s="27" t="str">
        <f t="shared" si="3"/>
        <v>sim</v>
      </c>
    </row>
    <row r="75" spans="2:5">
      <c r="B75" s="32">
        <v>45273</v>
      </c>
      <c r="C75" s="33">
        <f t="shared" si="2"/>
        <v>4</v>
      </c>
      <c r="E75" s="27" t="str">
        <f t="shared" si="3"/>
        <v>sim</v>
      </c>
    </row>
    <row r="76" spans="2:5">
      <c r="B76" s="32">
        <v>45274</v>
      </c>
      <c r="C76" s="33">
        <f t="shared" si="2"/>
        <v>5</v>
      </c>
      <c r="E76" s="27" t="str">
        <f t="shared" si="3"/>
        <v>sim</v>
      </c>
    </row>
    <row r="77" spans="2:5">
      <c r="B77" s="32">
        <v>45275</v>
      </c>
      <c r="C77" s="33">
        <f t="shared" si="2"/>
        <v>6</v>
      </c>
      <c r="E77" s="27" t="str">
        <f t="shared" si="3"/>
        <v>sim</v>
      </c>
    </row>
    <row r="78" spans="2:5">
      <c r="B78" s="32">
        <v>45276</v>
      </c>
      <c r="C78" s="33">
        <f t="shared" si="2"/>
        <v>7</v>
      </c>
      <c r="E78" s="27" t="str">
        <f t="shared" si="3"/>
        <v>não</v>
      </c>
    </row>
    <row r="79" spans="2:5">
      <c r="B79" s="32">
        <v>45277</v>
      </c>
      <c r="C79" s="33">
        <f t="shared" si="2"/>
        <v>1</v>
      </c>
      <c r="E79" s="27" t="str">
        <f t="shared" si="3"/>
        <v>não</v>
      </c>
    </row>
    <row r="80" spans="2:5">
      <c r="B80" s="32">
        <v>45278</v>
      </c>
      <c r="C80" s="33">
        <f t="shared" si="2"/>
        <v>2</v>
      </c>
      <c r="E80" s="27" t="str">
        <f t="shared" si="3"/>
        <v>sim</v>
      </c>
    </row>
    <row r="81" spans="2:5">
      <c r="B81" s="32">
        <v>45279</v>
      </c>
      <c r="C81" s="33">
        <f t="shared" si="2"/>
        <v>3</v>
      </c>
      <c r="E81" s="27" t="str">
        <f t="shared" si="3"/>
        <v>sim</v>
      </c>
    </row>
    <row r="82" spans="2:5">
      <c r="B82" s="32">
        <v>45280</v>
      </c>
      <c r="C82" s="33">
        <f t="shared" si="2"/>
        <v>4</v>
      </c>
      <c r="E82" s="27" t="str">
        <f t="shared" si="3"/>
        <v>sim</v>
      </c>
    </row>
    <row r="83" spans="2:5">
      <c r="B83" s="32">
        <v>45281</v>
      </c>
      <c r="C83" s="33">
        <f t="shared" si="2"/>
        <v>5</v>
      </c>
      <c r="E83" s="27" t="str">
        <f t="shared" si="3"/>
        <v>sim</v>
      </c>
    </row>
    <row r="84" spans="2:5">
      <c r="B84" s="32">
        <v>45282</v>
      </c>
      <c r="C84" s="33">
        <f t="shared" si="2"/>
        <v>6</v>
      </c>
      <c r="E84" s="27" t="str">
        <f t="shared" si="3"/>
        <v>sim</v>
      </c>
    </row>
    <row r="85" spans="2:5">
      <c r="B85" s="32">
        <v>45283</v>
      </c>
      <c r="C85" s="33">
        <f t="shared" si="2"/>
        <v>7</v>
      </c>
      <c r="E85" s="27" t="str">
        <f t="shared" si="3"/>
        <v>não</v>
      </c>
    </row>
    <row r="86" spans="2:5">
      <c r="B86" s="32">
        <v>45284</v>
      </c>
      <c r="C86" s="33">
        <f t="shared" si="2"/>
        <v>1</v>
      </c>
      <c r="E86" s="27" t="str">
        <f t="shared" si="3"/>
        <v>não</v>
      </c>
    </row>
    <row r="87" spans="2:5">
      <c r="B87" s="32">
        <v>45285</v>
      </c>
      <c r="C87" s="33">
        <f t="shared" si="2"/>
        <v>2</v>
      </c>
      <c r="D87" s="27" t="s">
        <v>187</v>
      </c>
      <c r="E87" s="27" t="str">
        <f t="shared" si="3"/>
        <v>não</v>
      </c>
    </row>
    <row r="88" spans="2:5">
      <c r="B88" s="32">
        <v>45286</v>
      </c>
      <c r="C88" s="33">
        <f t="shared" si="2"/>
        <v>3</v>
      </c>
      <c r="E88" s="27" t="str">
        <f t="shared" si="3"/>
        <v>sim</v>
      </c>
    </row>
    <row r="89" spans="2:5">
      <c r="B89" s="32">
        <v>45287</v>
      </c>
      <c r="C89" s="33">
        <f t="shared" si="2"/>
        <v>4</v>
      </c>
      <c r="E89" s="27" t="str">
        <f t="shared" si="3"/>
        <v>sim</v>
      </c>
    </row>
    <row r="90" spans="2:5">
      <c r="B90" s="32">
        <v>45288</v>
      </c>
      <c r="C90" s="33">
        <f t="shared" si="2"/>
        <v>5</v>
      </c>
      <c r="E90" s="27" t="str">
        <f t="shared" si="3"/>
        <v>sim</v>
      </c>
    </row>
    <row r="91" spans="2:5">
      <c r="B91" s="32">
        <v>45289</v>
      </c>
      <c r="C91" s="33">
        <f t="shared" si="2"/>
        <v>6</v>
      </c>
      <c r="E91" s="27" t="str">
        <f t="shared" si="3"/>
        <v>sim</v>
      </c>
    </row>
    <row r="92" spans="2:5">
      <c r="B92" s="32">
        <v>45290</v>
      </c>
      <c r="C92" s="33">
        <f t="shared" si="2"/>
        <v>7</v>
      </c>
      <c r="E92" s="27" t="str">
        <f t="shared" si="3"/>
        <v>não</v>
      </c>
    </row>
    <row r="93" spans="2:5">
      <c r="B93" s="32">
        <v>45291</v>
      </c>
      <c r="C93" s="33">
        <f t="shared" si="2"/>
        <v>1</v>
      </c>
      <c r="E93" s="27" t="str">
        <f t="shared" si="3"/>
        <v>não</v>
      </c>
    </row>
    <row r="94" spans="2:5">
      <c r="B94" s="32">
        <v>45292</v>
      </c>
      <c r="C94" s="33">
        <f t="shared" si="2"/>
        <v>2</v>
      </c>
      <c r="D94" s="27" t="s">
        <v>180</v>
      </c>
      <c r="E94" s="27" t="str">
        <f t="shared" si="3"/>
        <v>não</v>
      </c>
    </row>
    <row r="95" spans="2:5">
      <c r="B95" s="32">
        <v>45293</v>
      </c>
      <c r="C95" s="33">
        <f t="shared" si="2"/>
        <v>3</v>
      </c>
      <c r="E95" s="27" t="str">
        <f t="shared" si="3"/>
        <v>sim</v>
      </c>
    </row>
    <row r="96" spans="2:5">
      <c r="B96" s="32">
        <v>45294</v>
      </c>
      <c r="C96" s="33">
        <f t="shared" si="2"/>
        <v>4</v>
      </c>
      <c r="E96" s="27" t="str">
        <f t="shared" si="3"/>
        <v>sim</v>
      </c>
    </row>
    <row r="97" spans="2:5">
      <c r="B97" s="32">
        <v>45295</v>
      </c>
      <c r="C97" s="33">
        <f t="shared" si="2"/>
        <v>5</v>
      </c>
      <c r="E97" s="27" t="str">
        <f t="shared" si="3"/>
        <v>sim</v>
      </c>
    </row>
    <row r="98" spans="2:5">
      <c r="B98" s="32">
        <v>45296</v>
      </c>
      <c r="C98" s="33">
        <f t="shared" si="2"/>
        <v>6</v>
      </c>
      <c r="E98" s="27" t="str">
        <f t="shared" si="3"/>
        <v>sim</v>
      </c>
    </row>
    <row r="99" spans="2:5">
      <c r="B99" s="32">
        <v>45297</v>
      </c>
      <c r="C99" s="33">
        <f t="shared" si="2"/>
        <v>7</v>
      </c>
      <c r="E99" s="27" t="str">
        <f t="shared" si="3"/>
        <v>não</v>
      </c>
    </row>
    <row r="100" spans="2:5">
      <c r="B100" s="32">
        <v>45298</v>
      </c>
      <c r="C100" s="33">
        <f t="shared" si="2"/>
        <v>1</v>
      </c>
      <c r="E100" s="27" t="str">
        <f t="shared" si="3"/>
        <v>não</v>
      </c>
    </row>
    <row r="101" spans="2:5">
      <c r="B101" s="32">
        <v>45299</v>
      </c>
      <c r="C101" s="33">
        <f t="shared" si="2"/>
        <v>2</v>
      </c>
      <c r="E101" s="27" t="str">
        <f t="shared" si="3"/>
        <v>sim</v>
      </c>
    </row>
    <row r="102" spans="2:5">
      <c r="B102" s="32">
        <v>45300</v>
      </c>
      <c r="C102" s="33">
        <f t="shared" si="2"/>
        <v>3</v>
      </c>
      <c r="E102" s="27" t="str">
        <f t="shared" si="3"/>
        <v>sim</v>
      </c>
    </row>
    <row r="103" spans="2:5">
      <c r="B103" s="32">
        <v>45301</v>
      </c>
      <c r="C103" s="33">
        <f t="shared" si="2"/>
        <v>4</v>
      </c>
      <c r="E103" s="27" t="str">
        <f t="shared" si="3"/>
        <v>sim</v>
      </c>
    </row>
    <row r="104" spans="2:5">
      <c r="B104" s="32">
        <v>45302</v>
      </c>
      <c r="C104" s="33">
        <f t="shared" si="2"/>
        <v>5</v>
      </c>
      <c r="E104" s="27" t="str">
        <f t="shared" si="3"/>
        <v>sim</v>
      </c>
    </row>
    <row r="105" spans="2:5">
      <c r="B105" s="32">
        <v>45303</v>
      </c>
      <c r="C105" s="33">
        <f t="shared" si="2"/>
        <v>6</v>
      </c>
      <c r="E105" s="27" t="str">
        <f t="shared" si="3"/>
        <v>sim</v>
      </c>
    </row>
    <row r="106" spans="2:5">
      <c r="B106" s="32">
        <v>45304</v>
      </c>
      <c r="C106" s="33">
        <f t="shared" si="2"/>
        <v>7</v>
      </c>
      <c r="E106" s="27" t="str">
        <f t="shared" si="3"/>
        <v>não</v>
      </c>
    </row>
    <row r="107" spans="2:5">
      <c r="B107" s="32">
        <v>45305</v>
      </c>
      <c r="C107" s="33">
        <f t="shared" si="2"/>
        <v>1</v>
      </c>
      <c r="E107" s="27" t="str">
        <f t="shared" si="3"/>
        <v>não</v>
      </c>
    </row>
    <row r="108" spans="2:5">
      <c r="B108" s="32">
        <v>45306</v>
      </c>
      <c r="C108" s="33">
        <f t="shared" si="2"/>
        <v>2</v>
      </c>
      <c r="E108" s="27" t="str">
        <f t="shared" si="3"/>
        <v>sim</v>
      </c>
    </row>
    <row r="109" spans="2:5">
      <c r="B109" s="32">
        <v>45307</v>
      </c>
      <c r="C109" s="33">
        <f t="shared" si="2"/>
        <v>3</v>
      </c>
      <c r="E109" s="27" t="str">
        <f t="shared" si="3"/>
        <v>sim</v>
      </c>
    </row>
    <row r="110" spans="2:5">
      <c r="B110" s="32">
        <v>45308</v>
      </c>
      <c r="C110" s="33">
        <f t="shared" si="2"/>
        <v>4</v>
      </c>
      <c r="E110" s="27" t="str">
        <f t="shared" si="3"/>
        <v>sim</v>
      </c>
    </row>
    <row r="111" spans="2:5">
      <c r="B111" s="32">
        <v>45309</v>
      </c>
      <c r="C111" s="33">
        <f t="shared" si="2"/>
        <v>5</v>
      </c>
      <c r="E111" s="27" t="str">
        <f t="shared" si="3"/>
        <v>sim</v>
      </c>
    </row>
    <row r="112" spans="2:5">
      <c r="B112" s="32">
        <v>45310</v>
      </c>
      <c r="C112" s="33">
        <f t="shared" si="2"/>
        <v>6</v>
      </c>
      <c r="E112" s="27" t="str">
        <f t="shared" si="3"/>
        <v>sim</v>
      </c>
    </row>
    <row r="113" spans="2:5">
      <c r="B113" s="32">
        <v>45311</v>
      </c>
      <c r="C113" s="33">
        <f t="shared" si="2"/>
        <v>7</v>
      </c>
      <c r="E113" s="27" t="str">
        <f t="shared" si="3"/>
        <v>não</v>
      </c>
    </row>
    <row r="114" spans="2:5">
      <c r="B114" s="32">
        <v>45312</v>
      </c>
      <c r="C114" s="33">
        <f t="shared" si="2"/>
        <v>1</v>
      </c>
      <c r="E114" s="27" t="str">
        <f t="shared" si="3"/>
        <v>não</v>
      </c>
    </row>
    <row r="115" spans="2:5">
      <c r="B115" s="32">
        <v>45313</v>
      </c>
      <c r="C115" s="33">
        <f t="shared" si="2"/>
        <v>2</v>
      </c>
      <c r="E115" s="27" t="str">
        <f t="shared" si="3"/>
        <v>sim</v>
      </c>
    </row>
    <row r="116" spans="2:5">
      <c r="B116" s="32">
        <v>45314</v>
      </c>
      <c r="C116" s="33">
        <f t="shared" si="2"/>
        <v>3</v>
      </c>
      <c r="E116" s="27" t="str">
        <f t="shared" si="3"/>
        <v>sim</v>
      </c>
    </row>
    <row r="117" spans="2:5">
      <c r="B117" s="32">
        <v>45315</v>
      </c>
      <c r="C117" s="33">
        <f t="shared" si="2"/>
        <v>4</v>
      </c>
      <c r="E117" s="27" t="str">
        <f t="shared" si="3"/>
        <v>sim</v>
      </c>
    </row>
    <row r="118" spans="2:5">
      <c r="B118" s="32">
        <v>45316</v>
      </c>
      <c r="C118" s="33">
        <f t="shared" si="2"/>
        <v>5</v>
      </c>
      <c r="E118" s="27" t="str">
        <f t="shared" si="3"/>
        <v>sim</v>
      </c>
    </row>
    <row r="119" spans="2:5">
      <c r="B119" s="32">
        <v>45317</v>
      </c>
      <c r="C119" s="33">
        <f t="shared" si="2"/>
        <v>6</v>
      </c>
      <c r="E119" s="27" t="str">
        <f t="shared" si="3"/>
        <v>sim</v>
      </c>
    </row>
    <row r="120" spans="2:5">
      <c r="B120" s="32">
        <v>45318</v>
      </c>
      <c r="C120" s="33">
        <f t="shared" si="2"/>
        <v>7</v>
      </c>
      <c r="E120" s="27" t="str">
        <f t="shared" si="3"/>
        <v>não</v>
      </c>
    </row>
    <row r="121" spans="2:5">
      <c r="B121" s="32">
        <v>45319</v>
      </c>
      <c r="C121" s="33">
        <f t="shared" si="2"/>
        <v>1</v>
      </c>
      <c r="E121" s="27" t="str">
        <f t="shared" si="3"/>
        <v>não</v>
      </c>
    </row>
    <row r="122" spans="2:5">
      <c r="B122" s="32">
        <v>45320</v>
      </c>
      <c r="C122" s="33">
        <f t="shared" si="2"/>
        <v>2</v>
      </c>
      <c r="E122" s="27" t="str">
        <f t="shared" si="3"/>
        <v>sim</v>
      </c>
    </row>
    <row r="123" spans="2:5">
      <c r="B123" s="32">
        <v>45321</v>
      </c>
      <c r="C123" s="33">
        <f t="shared" si="2"/>
        <v>3</v>
      </c>
      <c r="E123" s="27" t="str">
        <f t="shared" si="3"/>
        <v>sim</v>
      </c>
    </row>
    <row r="124" spans="2:5">
      <c r="B124" s="32">
        <v>45322</v>
      </c>
      <c r="C124" s="33">
        <f t="shared" si="2"/>
        <v>4</v>
      </c>
      <c r="E124" s="27" t="str">
        <f t="shared" si="3"/>
        <v>sim</v>
      </c>
    </row>
    <row r="125" spans="2:5">
      <c r="B125" s="32">
        <v>45323</v>
      </c>
      <c r="C125" s="33">
        <f t="shared" si="2"/>
        <v>5</v>
      </c>
      <c r="E125" s="27" t="str">
        <f t="shared" si="3"/>
        <v>sim</v>
      </c>
    </row>
    <row r="126" spans="2:5">
      <c r="B126" s="32">
        <v>45324</v>
      </c>
      <c r="C126" s="33">
        <f t="shared" si="2"/>
        <v>6</v>
      </c>
      <c r="E126" s="27" t="str">
        <f t="shared" si="3"/>
        <v>sim</v>
      </c>
    </row>
    <row r="127" spans="2:5">
      <c r="B127" s="32">
        <v>45325</v>
      </c>
      <c r="C127" s="33">
        <f t="shared" si="2"/>
        <v>7</v>
      </c>
      <c r="E127" s="27" t="str">
        <f t="shared" si="3"/>
        <v>não</v>
      </c>
    </row>
    <row r="128" spans="2:5">
      <c r="B128" s="32">
        <v>45326</v>
      </c>
      <c r="C128" s="33">
        <f t="shared" si="2"/>
        <v>1</v>
      </c>
      <c r="E128" s="27" t="str">
        <f t="shared" si="3"/>
        <v>não</v>
      </c>
    </row>
    <row r="129" spans="2:5">
      <c r="B129" s="32">
        <v>45327</v>
      </c>
      <c r="C129" s="33">
        <f t="shared" si="2"/>
        <v>2</v>
      </c>
      <c r="E129" s="27" t="str">
        <f t="shared" si="3"/>
        <v>sim</v>
      </c>
    </row>
    <row r="130" spans="2:5">
      <c r="B130" s="32">
        <v>45328</v>
      </c>
      <c r="C130" s="33">
        <f t="shared" si="2"/>
        <v>3</v>
      </c>
      <c r="E130" s="27" t="str">
        <f t="shared" si="3"/>
        <v>sim</v>
      </c>
    </row>
    <row r="131" spans="2:5">
      <c r="B131" s="32">
        <v>45329</v>
      </c>
      <c r="C131" s="33">
        <f t="shared" ref="C131:C194" si="4">WEEKDAY(B131)</f>
        <v>4</v>
      </c>
      <c r="E131" s="27" t="str">
        <f t="shared" ref="E131:E194" si="5">IF(D131&lt;&gt;"","não",IF(OR(C131=1,C131=7),"não","sim"))</f>
        <v>sim</v>
      </c>
    </row>
    <row r="132" spans="2:5">
      <c r="B132" s="32">
        <v>45330</v>
      </c>
      <c r="C132" s="33">
        <f t="shared" si="4"/>
        <v>5</v>
      </c>
      <c r="E132" s="27" t="str">
        <f t="shared" si="5"/>
        <v>sim</v>
      </c>
    </row>
    <row r="133" spans="2:5">
      <c r="B133" s="32">
        <v>45331</v>
      </c>
      <c r="C133" s="33">
        <f t="shared" si="4"/>
        <v>6</v>
      </c>
      <c r="E133" s="27" t="str">
        <f t="shared" si="5"/>
        <v>sim</v>
      </c>
    </row>
    <row r="134" spans="2:5">
      <c r="B134" s="32">
        <v>45332</v>
      </c>
      <c r="C134" s="33">
        <f t="shared" si="4"/>
        <v>7</v>
      </c>
      <c r="E134" s="27" t="str">
        <f t="shared" si="5"/>
        <v>não</v>
      </c>
    </row>
    <row r="135" spans="2:5">
      <c r="B135" s="32">
        <v>45333</v>
      </c>
      <c r="C135" s="33">
        <f t="shared" si="4"/>
        <v>1</v>
      </c>
      <c r="E135" s="27" t="str">
        <f t="shared" si="5"/>
        <v>não</v>
      </c>
    </row>
    <row r="136" spans="2:5">
      <c r="B136" s="32">
        <v>45334</v>
      </c>
      <c r="C136" s="33">
        <f t="shared" si="4"/>
        <v>2</v>
      </c>
      <c r="D136" s="27" t="s">
        <v>181</v>
      </c>
      <c r="E136" s="27" t="str">
        <f t="shared" si="5"/>
        <v>não</v>
      </c>
    </row>
    <row r="137" spans="2:5">
      <c r="B137" s="32">
        <v>45335</v>
      </c>
      <c r="C137" s="33">
        <f t="shared" si="4"/>
        <v>3</v>
      </c>
      <c r="D137" s="27" t="s">
        <v>181</v>
      </c>
      <c r="E137" s="27" t="str">
        <f t="shared" si="5"/>
        <v>não</v>
      </c>
    </row>
    <row r="138" spans="2:5">
      <c r="B138" s="32">
        <v>45336</v>
      </c>
      <c r="C138" s="33">
        <f t="shared" si="4"/>
        <v>4</v>
      </c>
      <c r="E138" s="27" t="str">
        <f t="shared" si="5"/>
        <v>sim</v>
      </c>
    </row>
    <row r="139" spans="2:5">
      <c r="B139" s="32">
        <v>45337</v>
      </c>
      <c r="C139" s="33">
        <f t="shared" si="4"/>
        <v>5</v>
      </c>
      <c r="E139" s="27" t="str">
        <f t="shared" si="5"/>
        <v>sim</v>
      </c>
    </row>
    <row r="140" spans="2:5">
      <c r="B140" s="32">
        <v>45338</v>
      </c>
      <c r="C140" s="33">
        <f t="shared" si="4"/>
        <v>6</v>
      </c>
      <c r="E140" s="27" t="str">
        <f t="shared" si="5"/>
        <v>sim</v>
      </c>
    </row>
    <row r="141" spans="2:5">
      <c r="B141" s="32">
        <v>45339</v>
      </c>
      <c r="C141" s="33">
        <f t="shared" si="4"/>
        <v>7</v>
      </c>
      <c r="E141" s="27" t="str">
        <f t="shared" si="5"/>
        <v>não</v>
      </c>
    </row>
    <row r="142" spans="2:5">
      <c r="B142" s="32">
        <v>45340</v>
      </c>
      <c r="C142" s="33">
        <f t="shared" si="4"/>
        <v>1</v>
      </c>
      <c r="E142" s="27" t="str">
        <f t="shared" si="5"/>
        <v>não</v>
      </c>
    </row>
    <row r="143" spans="2:5">
      <c r="B143" s="32">
        <v>45341</v>
      </c>
      <c r="C143" s="33">
        <f t="shared" si="4"/>
        <v>2</v>
      </c>
      <c r="E143" s="27" t="str">
        <f t="shared" si="5"/>
        <v>sim</v>
      </c>
    </row>
    <row r="144" spans="2:5">
      <c r="B144" s="32">
        <v>45342</v>
      </c>
      <c r="C144" s="33">
        <f t="shared" si="4"/>
        <v>3</v>
      </c>
      <c r="E144" s="27" t="str">
        <f t="shared" si="5"/>
        <v>sim</v>
      </c>
    </row>
    <row r="145" spans="2:5">
      <c r="B145" s="32">
        <v>45343</v>
      </c>
      <c r="C145" s="33">
        <f t="shared" si="4"/>
        <v>4</v>
      </c>
      <c r="E145" s="27" t="str">
        <f t="shared" si="5"/>
        <v>sim</v>
      </c>
    </row>
    <row r="146" spans="2:5">
      <c r="B146" s="32">
        <v>45344</v>
      </c>
      <c r="C146" s="33">
        <f t="shared" si="4"/>
        <v>5</v>
      </c>
      <c r="E146" s="27" t="str">
        <f t="shared" si="5"/>
        <v>sim</v>
      </c>
    </row>
    <row r="147" spans="2:5">
      <c r="B147" s="32">
        <v>45345</v>
      </c>
      <c r="C147" s="33">
        <f t="shared" si="4"/>
        <v>6</v>
      </c>
      <c r="E147" s="27" t="str">
        <f t="shared" si="5"/>
        <v>sim</v>
      </c>
    </row>
    <row r="148" spans="2:5">
      <c r="B148" s="32">
        <v>45346</v>
      </c>
      <c r="C148" s="33">
        <f t="shared" si="4"/>
        <v>7</v>
      </c>
      <c r="E148" s="27" t="str">
        <f t="shared" si="5"/>
        <v>não</v>
      </c>
    </row>
    <row r="149" spans="2:5">
      <c r="B149" s="32">
        <v>45347</v>
      </c>
      <c r="C149" s="33">
        <f t="shared" si="4"/>
        <v>1</v>
      </c>
      <c r="E149" s="27" t="str">
        <f t="shared" si="5"/>
        <v>não</v>
      </c>
    </row>
    <row r="150" spans="2:5">
      <c r="B150" s="32">
        <v>45348</v>
      </c>
      <c r="C150" s="33">
        <f t="shared" si="4"/>
        <v>2</v>
      </c>
      <c r="E150" s="27" t="str">
        <f t="shared" si="5"/>
        <v>sim</v>
      </c>
    </row>
    <row r="151" spans="2:5">
      <c r="B151" s="32">
        <v>45349</v>
      </c>
      <c r="C151" s="33">
        <f t="shared" si="4"/>
        <v>3</v>
      </c>
      <c r="E151" s="27" t="str">
        <f t="shared" si="5"/>
        <v>sim</v>
      </c>
    </row>
    <row r="152" spans="2:5">
      <c r="B152" s="32">
        <v>45350</v>
      </c>
      <c r="C152" s="33">
        <f t="shared" si="4"/>
        <v>4</v>
      </c>
      <c r="E152" s="27" t="str">
        <f t="shared" si="5"/>
        <v>sim</v>
      </c>
    </row>
    <row r="153" spans="2:5">
      <c r="B153" s="32">
        <v>45351</v>
      </c>
      <c r="C153" s="33">
        <f t="shared" si="4"/>
        <v>5</v>
      </c>
      <c r="E153" s="27" t="str">
        <f t="shared" si="5"/>
        <v>sim</v>
      </c>
    </row>
    <row r="154" spans="2:5">
      <c r="B154" s="32">
        <v>45352</v>
      </c>
      <c r="C154" s="33">
        <f t="shared" si="4"/>
        <v>6</v>
      </c>
      <c r="E154" s="27" t="str">
        <f t="shared" si="5"/>
        <v>sim</v>
      </c>
    </row>
    <row r="155" spans="2:5">
      <c r="B155" s="32">
        <v>45353</v>
      </c>
      <c r="C155" s="33">
        <f t="shared" si="4"/>
        <v>7</v>
      </c>
      <c r="E155" s="27" t="str">
        <f t="shared" si="5"/>
        <v>não</v>
      </c>
    </row>
    <row r="156" spans="2:5">
      <c r="B156" s="32">
        <v>45354</v>
      </c>
      <c r="C156" s="33">
        <f t="shared" si="4"/>
        <v>1</v>
      </c>
      <c r="E156" s="27" t="str">
        <f t="shared" si="5"/>
        <v>não</v>
      </c>
    </row>
    <row r="157" spans="2:5">
      <c r="B157" s="32">
        <v>45355</v>
      </c>
      <c r="C157" s="33">
        <f t="shared" si="4"/>
        <v>2</v>
      </c>
      <c r="E157" s="27" t="str">
        <f t="shared" si="5"/>
        <v>sim</v>
      </c>
    </row>
    <row r="158" spans="2:5">
      <c r="B158" s="32">
        <v>45356</v>
      </c>
      <c r="C158" s="33">
        <f t="shared" si="4"/>
        <v>3</v>
      </c>
      <c r="E158" s="27" t="str">
        <f t="shared" si="5"/>
        <v>sim</v>
      </c>
    </row>
    <row r="159" spans="2:5">
      <c r="B159" s="32">
        <v>45357</v>
      </c>
      <c r="C159" s="33">
        <f t="shared" si="4"/>
        <v>4</v>
      </c>
      <c r="E159" s="27" t="str">
        <f t="shared" si="5"/>
        <v>sim</v>
      </c>
    </row>
    <row r="160" spans="2:5">
      <c r="B160" s="32">
        <v>45358</v>
      </c>
      <c r="C160" s="33">
        <f t="shared" si="4"/>
        <v>5</v>
      </c>
      <c r="E160" s="27" t="str">
        <f t="shared" si="5"/>
        <v>sim</v>
      </c>
    </row>
    <row r="161" spans="2:5">
      <c r="B161" s="32">
        <v>45359</v>
      </c>
      <c r="C161" s="33">
        <f t="shared" si="4"/>
        <v>6</v>
      </c>
      <c r="E161" s="27" t="str">
        <f t="shared" si="5"/>
        <v>sim</v>
      </c>
    </row>
    <row r="162" spans="2:5">
      <c r="B162" s="32">
        <v>45360</v>
      </c>
      <c r="C162" s="33">
        <f t="shared" si="4"/>
        <v>7</v>
      </c>
      <c r="E162" s="27" t="str">
        <f t="shared" si="5"/>
        <v>não</v>
      </c>
    </row>
    <row r="163" spans="2:5">
      <c r="B163" s="32">
        <v>45361</v>
      </c>
      <c r="C163" s="33">
        <f t="shared" si="4"/>
        <v>1</v>
      </c>
      <c r="E163" s="27" t="str">
        <f t="shared" si="5"/>
        <v>não</v>
      </c>
    </row>
    <row r="164" spans="2:5">
      <c r="B164" s="32">
        <v>45362</v>
      </c>
      <c r="C164" s="33">
        <f t="shared" si="4"/>
        <v>2</v>
      </c>
      <c r="E164" s="27" t="str">
        <f t="shared" si="5"/>
        <v>sim</v>
      </c>
    </row>
    <row r="165" spans="2:5">
      <c r="B165" s="32">
        <v>45363</v>
      </c>
      <c r="C165" s="33">
        <f t="shared" si="4"/>
        <v>3</v>
      </c>
      <c r="E165" s="27" t="str">
        <f t="shared" si="5"/>
        <v>sim</v>
      </c>
    </row>
    <row r="166" spans="2:5">
      <c r="B166" s="32">
        <v>45364</v>
      </c>
      <c r="C166" s="33">
        <f t="shared" si="4"/>
        <v>4</v>
      </c>
      <c r="E166" s="27" t="str">
        <f t="shared" si="5"/>
        <v>sim</v>
      </c>
    </row>
    <row r="167" spans="2:5">
      <c r="B167" s="32">
        <v>45365</v>
      </c>
      <c r="C167" s="33">
        <f t="shared" si="4"/>
        <v>5</v>
      </c>
      <c r="E167" s="27" t="str">
        <f t="shared" si="5"/>
        <v>sim</v>
      </c>
    </row>
    <row r="168" spans="2:5">
      <c r="B168" s="32">
        <v>45366</v>
      </c>
      <c r="C168" s="33">
        <f t="shared" si="4"/>
        <v>6</v>
      </c>
      <c r="E168" s="27" t="str">
        <f t="shared" si="5"/>
        <v>sim</v>
      </c>
    </row>
    <row r="169" spans="2:5">
      <c r="B169" s="32">
        <v>45367</v>
      </c>
      <c r="C169" s="33">
        <f t="shared" si="4"/>
        <v>7</v>
      </c>
      <c r="E169" s="27" t="str">
        <f t="shared" si="5"/>
        <v>não</v>
      </c>
    </row>
    <row r="170" spans="2:5">
      <c r="B170" s="32">
        <v>45368</v>
      </c>
      <c r="C170" s="33">
        <f t="shared" si="4"/>
        <v>1</v>
      </c>
      <c r="E170" s="27" t="str">
        <f t="shared" si="5"/>
        <v>não</v>
      </c>
    </row>
    <row r="171" spans="2:5">
      <c r="B171" s="32">
        <v>45369</v>
      </c>
      <c r="C171" s="33">
        <f t="shared" si="4"/>
        <v>2</v>
      </c>
      <c r="E171" s="27" t="str">
        <f t="shared" si="5"/>
        <v>sim</v>
      </c>
    </row>
    <row r="172" spans="2:5">
      <c r="B172" s="32">
        <v>45370</v>
      </c>
      <c r="C172" s="33">
        <f t="shared" si="4"/>
        <v>3</v>
      </c>
      <c r="E172" s="27" t="str">
        <f t="shared" si="5"/>
        <v>sim</v>
      </c>
    </row>
    <row r="173" spans="2:5">
      <c r="B173" s="32">
        <v>45371</v>
      </c>
      <c r="C173" s="33">
        <f t="shared" si="4"/>
        <v>4</v>
      </c>
      <c r="E173" s="27" t="str">
        <f t="shared" si="5"/>
        <v>sim</v>
      </c>
    </row>
    <row r="174" spans="2:5">
      <c r="B174" s="32">
        <v>45372</v>
      </c>
      <c r="C174" s="33">
        <f t="shared" si="4"/>
        <v>5</v>
      </c>
      <c r="E174" s="27" t="str">
        <f t="shared" si="5"/>
        <v>sim</v>
      </c>
    </row>
    <row r="175" spans="2:5">
      <c r="B175" s="32">
        <v>45373</v>
      </c>
      <c r="C175" s="33">
        <f t="shared" si="4"/>
        <v>6</v>
      </c>
      <c r="E175" s="27" t="str">
        <f t="shared" si="5"/>
        <v>sim</v>
      </c>
    </row>
    <row r="176" spans="2:5">
      <c r="B176" s="32">
        <v>45374</v>
      </c>
      <c r="C176" s="33">
        <f t="shared" si="4"/>
        <v>7</v>
      </c>
      <c r="E176" s="27" t="str">
        <f t="shared" si="5"/>
        <v>não</v>
      </c>
    </row>
    <row r="177" spans="2:5">
      <c r="B177" s="32">
        <v>45375</v>
      </c>
      <c r="C177" s="33">
        <f t="shared" si="4"/>
        <v>1</v>
      </c>
      <c r="E177" s="27" t="str">
        <f t="shared" si="5"/>
        <v>não</v>
      </c>
    </row>
    <row r="178" spans="2:5">
      <c r="B178" s="32">
        <v>45376</v>
      </c>
      <c r="C178" s="33">
        <f t="shared" si="4"/>
        <v>2</v>
      </c>
      <c r="E178" s="27" t="str">
        <f t="shared" si="5"/>
        <v>sim</v>
      </c>
    </row>
    <row r="179" spans="2:5">
      <c r="B179" s="32">
        <v>45377</v>
      </c>
      <c r="C179" s="33">
        <f t="shared" si="4"/>
        <v>3</v>
      </c>
      <c r="E179" s="27" t="str">
        <f t="shared" si="5"/>
        <v>sim</v>
      </c>
    </row>
    <row r="180" spans="2:5">
      <c r="B180" s="32">
        <v>45378</v>
      </c>
      <c r="C180" s="33">
        <f t="shared" si="4"/>
        <v>4</v>
      </c>
      <c r="E180" s="27" t="str">
        <f t="shared" si="5"/>
        <v>sim</v>
      </c>
    </row>
    <row r="181" spans="2:5">
      <c r="B181" s="32">
        <v>45379</v>
      </c>
      <c r="C181" s="33">
        <f t="shared" si="4"/>
        <v>5</v>
      </c>
      <c r="E181" s="27" t="str">
        <f t="shared" si="5"/>
        <v>sim</v>
      </c>
    </row>
    <row r="182" spans="2:5">
      <c r="B182" s="32">
        <v>45380</v>
      </c>
      <c r="C182" s="33">
        <f t="shared" si="4"/>
        <v>6</v>
      </c>
      <c r="D182" s="27" t="s">
        <v>280</v>
      </c>
      <c r="E182" s="27" t="str">
        <f t="shared" si="5"/>
        <v>não</v>
      </c>
    </row>
    <row r="183" spans="2:5">
      <c r="B183" s="32">
        <v>45381</v>
      </c>
      <c r="C183" s="33">
        <f t="shared" si="4"/>
        <v>7</v>
      </c>
      <c r="E183" s="27" t="str">
        <f t="shared" si="5"/>
        <v>não</v>
      </c>
    </row>
    <row r="184" spans="2:5">
      <c r="B184" s="32">
        <v>45382</v>
      </c>
      <c r="C184" s="33">
        <f t="shared" si="4"/>
        <v>1</v>
      </c>
      <c r="E184" s="27" t="str">
        <f t="shared" si="5"/>
        <v>não</v>
      </c>
    </row>
    <row r="185" spans="2:5">
      <c r="B185" s="32">
        <v>45383</v>
      </c>
      <c r="C185" s="33">
        <f t="shared" si="4"/>
        <v>2</v>
      </c>
      <c r="E185" s="27" t="str">
        <f t="shared" si="5"/>
        <v>sim</v>
      </c>
    </row>
    <row r="186" spans="2:5">
      <c r="B186" s="32">
        <v>45384</v>
      </c>
      <c r="C186" s="33">
        <f t="shared" si="4"/>
        <v>3</v>
      </c>
      <c r="E186" s="27" t="str">
        <f t="shared" si="5"/>
        <v>sim</v>
      </c>
    </row>
    <row r="187" spans="2:5">
      <c r="B187" s="32">
        <v>45385</v>
      </c>
      <c r="C187" s="33">
        <f t="shared" si="4"/>
        <v>4</v>
      </c>
      <c r="E187" s="27" t="str">
        <f t="shared" si="5"/>
        <v>sim</v>
      </c>
    </row>
    <row r="188" spans="2:5">
      <c r="B188" s="32">
        <v>45386</v>
      </c>
      <c r="C188" s="33">
        <f t="shared" si="4"/>
        <v>5</v>
      </c>
      <c r="E188" s="27" t="str">
        <f t="shared" si="5"/>
        <v>sim</v>
      </c>
    </row>
    <row r="189" spans="2:5">
      <c r="B189" s="32">
        <v>45387</v>
      </c>
      <c r="C189" s="33">
        <f t="shared" si="4"/>
        <v>6</v>
      </c>
      <c r="E189" s="27" t="str">
        <f t="shared" si="5"/>
        <v>sim</v>
      </c>
    </row>
    <row r="190" spans="2:5">
      <c r="B190" s="32">
        <v>45388</v>
      </c>
      <c r="C190" s="33">
        <f t="shared" si="4"/>
        <v>7</v>
      </c>
      <c r="E190" s="27" t="str">
        <f t="shared" si="5"/>
        <v>não</v>
      </c>
    </row>
    <row r="191" spans="2:5">
      <c r="B191" s="32">
        <v>45389</v>
      </c>
      <c r="C191" s="33">
        <f t="shared" si="4"/>
        <v>1</v>
      </c>
      <c r="E191" s="27" t="str">
        <f t="shared" si="5"/>
        <v>não</v>
      </c>
    </row>
    <row r="192" spans="2:5">
      <c r="B192" s="32">
        <v>45390</v>
      </c>
      <c r="C192" s="33">
        <f t="shared" si="4"/>
        <v>2</v>
      </c>
      <c r="E192" s="27" t="str">
        <f t="shared" si="5"/>
        <v>sim</v>
      </c>
    </row>
    <row r="193" spans="2:5">
      <c r="B193" s="32">
        <v>45391</v>
      </c>
      <c r="C193" s="33">
        <f t="shared" si="4"/>
        <v>3</v>
      </c>
      <c r="E193" s="27" t="str">
        <f t="shared" si="5"/>
        <v>sim</v>
      </c>
    </row>
    <row r="194" spans="2:5">
      <c r="B194" s="32">
        <v>45392</v>
      </c>
      <c r="C194" s="33">
        <f t="shared" si="4"/>
        <v>4</v>
      </c>
      <c r="E194" s="27" t="str">
        <f t="shared" si="5"/>
        <v>sim</v>
      </c>
    </row>
    <row r="195" spans="2:5">
      <c r="B195" s="32">
        <v>45393</v>
      </c>
      <c r="C195" s="33">
        <f t="shared" ref="C195:C258" si="6">WEEKDAY(B195)</f>
        <v>5</v>
      </c>
      <c r="E195" s="27" t="str">
        <f t="shared" ref="E195:E258" si="7">IF(D195&lt;&gt;"","não",IF(OR(C195=1,C195=7),"não","sim"))</f>
        <v>sim</v>
      </c>
    </row>
    <row r="196" spans="2:5">
      <c r="B196" s="32">
        <v>45394</v>
      </c>
      <c r="C196" s="33">
        <f t="shared" si="6"/>
        <v>6</v>
      </c>
      <c r="E196" s="27" t="str">
        <f t="shared" si="7"/>
        <v>sim</v>
      </c>
    </row>
    <row r="197" spans="2:5">
      <c r="B197" s="32">
        <v>45395</v>
      </c>
      <c r="C197" s="33">
        <f t="shared" si="6"/>
        <v>7</v>
      </c>
      <c r="E197" s="27" t="str">
        <f t="shared" si="7"/>
        <v>não</v>
      </c>
    </row>
    <row r="198" spans="2:5">
      <c r="B198" s="32">
        <v>45396</v>
      </c>
      <c r="C198" s="33">
        <f t="shared" si="6"/>
        <v>1</v>
      </c>
      <c r="E198" s="27" t="str">
        <f t="shared" si="7"/>
        <v>não</v>
      </c>
    </row>
    <row r="199" spans="2:5">
      <c r="B199" s="32">
        <v>45397</v>
      </c>
      <c r="C199" s="33">
        <f t="shared" si="6"/>
        <v>2</v>
      </c>
      <c r="E199" s="27" t="str">
        <f t="shared" si="7"/>
        <v>sim</v>
      </c>
    </row>
    <row r="200" spans="2:5">
      <c r="B200" s="32">
        <v>45398</v>
      </c>
      <c r="C200" s="33">
        <f t="shared" si="6"/>
        <v>3</v>
      </c>
      <c r="E200" s="27" t="str">
        <f t="shared" si="7"/>
        <v>sim</v>
      </c>
    </row>
    <row r="201" spans="2:5">
      <c r="B201" s="32">
        <v>45399</v>
      </c>
      <c r="C201" s="33">
        <f t="shared" si="6"/>
        <v>4</v>
      </c>
      <c r="E201" s="27" t="str">
        <f t="shared" si="7"/>
        <v>sim</v>
      </c>
    </row>
    <row r="202" spans="2:5">
      <c r="B202" s="32">
        <v>45400</v>
      </c>
      <c r="C202" s="33">
        <f t="shared" si="6"/>
        <v>5</v>
      </c>
      <c r="E202" s="27" t="str">
        <f t="shared" si="7"/>
        <v>sim</v>
      </c>
    </row>
    <row r="203" spans="2:5">
      <c r="B203" s="32">
        <v>45401</v>
      </c>
      <c r="C203" s="33">
        <f t="shared" si="6"/>
        <v>6</v>
      </c>
      <c r="E203" s="27" t="str">
        <f t="shared" si="7"/>
        <v>sim</v>
      </c>
    </row>
    <row r="204" spans="2:5">
      <c r="B204" s="32">
        <v>45402</v>
      </c>
      <c r="C204" s="33">
        <f t="shared" si="6"/>
        <v>7</v>
      </c>
      <c r="E204" s="27" t="str">
        <f t="shared" si="7"/>
        <v>não</v>
      </c>
    </row>
    <row r="205" spans="2:5">
      <c r="B205" s="32">
        <v>45403</v>
      </c>
      <c r="C205" s="33">
        <f t="shared" si="6"/>
        <v>1</v>
      </c>
      <c r="D205" s="27" t="s">
        <v>182</v>
      </c>
      <c r="E205" s="27" t="str">
        <f t="shared" si="7"/>
        <v>não</v>
      </c>
    </row>
    <row r="206" spans="2:5">
      <c r="B206" s="32">
        <v>45404</v>
      </c>
      <c r="C206" s="33">
        <f t="shared" si="6"/>
        <v>2</v>
      </c>
      <c r="E206" s="27" t="str">
        <f t="shared" si="7"/>
        <v>sim</v>
      </c>
    </row>
    <row r="207" spans="2:5">
      <c r="B207" s="32">
        <v>45405</v>
      </c>
      <c r="C207" s="33">
        <f t="shared" si="6"/>
        <v>3</v>
      </c>
      <c r="E207" s="27" t="str">
        <f t="shared" si="7"/>
        <v>sim</v>
      </c>
    </row>
    <row r="208" spans="2:5">
      <c r="B208" s="32">
        <v>45406</v>
      </c>
      <c r="C208" s="33">
        <f t="shared" si="6"/>
        <v>4</v>
      </c>
      <c r="E208" s="27" t="str">
        <f t="shared" si="7"/>
        <v>sim</v>
      </c>
    </row>
    <row r="209" spans="2:5">
      <c r="B209" s="32">
        <v>45407</v>
      </c>
      <c r="C209" s="33">
        <f t="shared" si="6"/>
        <v>5</v>
      </c>
      <c r="E209" s="27" t="str">
        <f t="shared" si="7"/>
        <v>sim</v>
      </c>
    </row>
    <row r="210" spans="2:5">
      <c r="B210" s="32">
        <v>45408</v>
      </c>
      <c r="C210" s="33">
        <f t="shared" si="6"/>
        <v>6</v>
      </c>
      <c r="E210" s="27" t="str">
        <f t="shared" si="7"/>
        <v>sim</v>
      </c>
    </row>
    <row r="211" spans="2:5">
      <c r="B211" s="32">
        <v>45409</v>
      </c>
      <c r="C211" s="33">
        <f t="shared" si="6"/>
        <v>7</v>
      </c>
      <c r="E211" s="27" t="str">
        <f t="shared" si="7"/>
        <v>não</v>
      </c>
    </row>
    <row r="212" spans="2:5">
      <c r="B212" s="32">
        <v>45410</v>
      </c>
      <c r="C212" s="33">
        <f t="shared" si="6"/>
        <v>1</v>
      </c>
      <c r="E212" s="27" t="str">
        <f t="shared" si="7"/>
        <v>não</v>
      </c>
    </row>
    <row r="213" spans="2:5">
      <c r="B213" s="32">
        <v>45411</v>
      </c>
      <c r="C213" s="33">
        <f t="shared" si="6"/>
        <v>2</v>
      </c>
      <c r="E213" s="27" t="str">
        <f t="shared" si="7"/>
        <v>sim</v>
      </c>
    </row>
    <row r="214" spans="2:5">
      <c r="B214" s="32">
        <v>45412</v>
      </c>
      <c r="C214" s="33">
        <f t="shared" si="6"/>
        <v>3</v>
      </c>
      <c r="E214" s="27" t="str">
        <f t="shared" si="7"/>
        <v>sim</v>
      </c>
    </row>
    <row r="215" spans="2:5">
      <c r="B215" s="32">
        <v>45413</v>
      </c>
      <c r="C215" s="33">
        <f t="shared" si="6"/>
        <v>4</v>
      </c>
      <c r="D215" s="27" t="s">
        <v>281</v>
      </c>
      <c r="E215" s="27" t="str">
        <f t="shared" si="7"/>
        <v>não</v>
      </c>
    </row>
    <row r="216" spans="2:5">
      <c r="B216" s="32">
        <v>45414</v>
      </c>
      <c r="C216" s="33">
        <f t="shared" si="6"/>
        <v>5</v>
      </c>
      <c r="E216" s="27" t="str">
        <f t="shared" si="7"/>
        <v>sim</v>
      </c>
    </row>
    <row r="217" spans="2:5">
      <c r="B217" s="32">
        <v>45415</v>
      </c>
      <c r="C217" s="33">
        <f t="shared" si="6"/>
        <v>6</v>
      </c>
      <c r="E217" s="27" t="str">
        <f t="shared" si="7"/>
        <v>sim</v>
      </c>
    </row>
    <row r="218" spans="2:5">
      <c r="B218" s="32">
        <v>45416</v>
      </c>
      <c r="C218" s="33">
        <f t="shared" si="6"/>
        <v>7</v>
      </c>
      <c r="E218" s="27" t="str">
        <f t="shared" si="7"/>
        <v>não</v>
      </c>
    </row>
    <row r="219" spans="2:5">
      <c r="B219" s="32">
        <v>45417</v>
      </c>
      <c r="C219" s="33">
        <f t="shared" si="6"/>
        <v>1</v>
      </c>
      <c r="E219" s="27" t="str">
        <f t="shared" si="7"/>
        <v>não</v>
      </c>
    </row>
    <row r="220" spans="2:5">
      <c r="B220" s="32">
        <v>45418</v>
      </c>
      <c r="C220" s="33">
        <f t="shared" si="6"/>
        <v>2</v>
      </c>
      <c r="E220" s="27" t="str">
        <f t="shared" si="7"/>
        <v>sim</v>
      </c>
    </row>
    <row r="221" spans="2:5">
      <c r="B221" s="32">
        <v>45419</v>
      </c>
      <c r="C221" s="33">
        <f t="shared" si="6"/>
        <v>3</v>
      </c>
      <c r="E221" s="27" t="str">
        <f t="shared" si="7"/>
        <v>sim</v>
      </c>
    </row>
    <row r="222" spans="2:5">
      <c r="B222" s="32">
        <v>45420</v>
      </c>
      <c r="C222" s="33">
        <f t="shared" si="6"/>
        <v>4</v>
      </c>
      <c r="E222" s="27" t="str">
        <f t="shared" si="7"/>
        <v>sim</v>
      </c>
    </row>
    <row r="223" spans="2:5">
      <c r="B223" s="32">
        <v>45421</v>
      </c>
      <c r="C223" s="33">
        <f t="shared" si="6"/>
        <v>5</v>
      </c>
      <c r="E223" s="27" t="str">
        <f t="shared" si="7"/>
        <v>sim</v>
      </c>
    </row>
    <row r="224" spans="2:5">
      <c r="B224" s="32">
        <v>45422</v>
      </c>
      <c r="C224" s="33">
        <f t="shared" si="6"/>
        <v>6</v>
      </c>
      <c r="E224" s="27" t="str">
        <f t="shared" si="7"/>
        <v>sim</v>
      </c>
    </row>
    <row r="225" spans="2:5">
      <c r="B225" s="32">
        <v>45423</v>
      </c>
      <c r="C225" s="33">
        <f t="shared" si="6"/>
        <v>7</v>
      </c>
      <c r="E225" s="27" t="str">
        <f t="shared" si="7"/>
        <v>não</v>
      </c>
    </row>
    <row r="226" spans="2:5">
      <c r="B226" s="32">
        <v>45424</v>
      </c>
      <c r="C226" s="33">
        <f t="shared" si="6"/>
        <v>1</v>
      </c>
      <c r="E226" s="27" t="str">
        <f t="shared" si="7"/>
        <v>não</v>
      </c>
    </row>
    <row r="227" spans="2:5">
      <c r="B227" s="32">
        <v>45425</v>
      </c>
      <c r="C227" s="33">
        <f t="shared" si="6"/>
        <v>2</v>
      </c>
      <c r="E227" s="27" t="str">
        <f t="shared" si="7"/>
        <v>sim</v>
      </c>
    </row>
    <row r="228" spans="2:5">
      <c r="B228" s="32">
        <v>45426</v>
      </c>
      <c r="C228" s="33">
        <f t="shared" si="6"/>
        <v>3</v>
      </c>
      <c r="E228" s="27" t="str">
        <f t="shared" si="7"/>
        <v>sim</v>
      </c>
    </row>
    <row r="229" spans="2:5">
      <c r="B229" s="32">
        <v>45427</v>
      </c>
      <c r="C229" s="33">
        <f t="shared" si="6"/>
        <v>4</v>
      </c>
      <c r="E229" s="27" t="str">
        <f t="shared" si="7"/>
        <v>sim</v>
      </c>
    </row>
    <row r="230" spans="2:5">
      <c r="B230" s="32">
        <v>45428</v>
      </c>
      <c r="C230" s="33">
        <f t="shared" si="6"/>
        <v>5</v>
      </c>
      <c r="E230" s="27" t="str">
        <f t="shared" si="7"/>
        <v>sim</v>
      </c>
    </row>
    <row r="231" spans="2:5">
      <c r="B231" s="32">
        <v>45429</v>
      </c>
      <c r="C231" s="33">
        <f t="shared" si="6"/>
        <v>6</v>
      </c>
      <c r="E231" s="27" t="str">
        <f t="shared" si="7"/>
        <v>sim</v>
      </c>
    </row>
    <row r="232" spans="2:5">
      <c r="B232" s="32">
        <v>45430</v>
      </c>
      <c r="C232" s="33">
        <f t="shared" si="6"/>
        <v>7</v>
      </c>
      <c r="E232" s="27" t="str">
        <f t="shared" si="7"/>
        <v>não</v>
      </c>
    </row>
    <row r="233" spans="2:5">
      <c r="B233" s="32">
        <v>45431</v>
      </c>
      <c r="C233" s="33">
        <f t="shared" si="6"/>
        <v>1</v>
      </c>
      <c r="E233" s="27" t="str">
        <f t="shared" si="7"/>
        <v>não</v>
      </c>
    </row>
    <row r="234" spans="2:5">
      <c r="B234" s="32">
        <v>45432</v>
      </c>
      <c r="C234" s="33">
        <f t="shared" si="6"/>
        <v>2</v>
      </c>
      <c r="E234" s="27" t="str">
        <f t="shared" si="7"/>
        <v>sim</v>
      </c>
    </row>
    <row r="235" spans="2:5">
      <c r="B235" s="32">
        <v>45433</v>
      </c>
      <c r="C235" s="33">
        <f t="shared" si="6"/>
        <v>3</v>
      </c>
      <c r="E235" s="27" t="str">
        <f t="shared" si="7"/>
        <v>sim</v>
      </c>
    </row>
    <row r="236" spans="2:5">
      <c r="B236" s="32">
        <v>45434</v>
      </c>
      <c r="C236" s="33">
        <f t="shared" si="6"/>
        <v>4</v>
      </c>
      <c r="E236" s="27" t="str">
        <f t="shared" si="7"/>
        <v>sim</v>
      </c>
    </row>
    <row r="237" spans="2:5">
      <c r="B237" s="32">
        <v>45435</v>
      </c>
      <c r="C237" s="33">
        <f t="shared" si="6"/>
        <v>5</v>
      </c>
      <c r="E237" s="27" t="str">
        <f t="shared" si="7"/>
        <v>sim</v>
      </c>
    </row>
    <row r="238" spans="2:5">
      <c r="B238" s="32">
        <v>45436</v>
      </c>
      <c r="C238" s="33">
        <f t="shared" si="6"/>
        <v>6</v>
      </c>
      <c r="D238" s="27" t="s">
        <v>183</v>
      </c>
      <c r="E238" s="27" t="str">
        <f t="shared" si="7"/>
        <v>não</v>
      </c>
    </row>
    <row r="239" spans="2:5">
      <c r="B239" s="32">
        <v>45437</v>
      </c>
      <c r="C239" s="33">
        <f t="shared" si="6"/>
        <v>7</v>
      </c>
      <c r="E239" s="27" t="str">
        <f t="shared" si="7"/>
        <v>não</v>
      </c>
    </row>
    <row r="240" spans="2:5">
      <c r="B240" s="32">
        <v>45438</v>
      </c>
      <c r="C240" s="33">
        <f t="shared" si="6"/>
        <v>1</v>
      </c>
      <c r="E240" s="27" t="str">
        <f t="shared" si="7"/>
        <v>não</v>
      </c>
    </row>
    <row r="241" spans="2:5">
      <c r="B241" s="32">
        <v>45439</v>
      </c>
      <c r="C241" s="33">
        <f t="shared" si="6"/>
        <v>2</v>
      </c>
      <c r="E241" s="27" t="str">
        <f t="shared" si="7"/>
        <v>sim</v>
      </c>
    </row>
    <row r="242" spans="2:5">
      <c r="B242" s="32">
        <v>45440</v>
      </c>
      <c r="C242" s="33">
        <f t="shared" si="6"/>
        <v>3</v>
      </c>
      <c r="E242" s="27" t="str">
        <f t="shared" si="7"/>
        <v>sim</v>
      </c>
    </row>
    <row r="243" spans="2:5">
      <c r="B243" s="32">
        <v>45441</v>
      </c>
      <c r="C243" s="33">
        <f t="shared" si="6"/>
        <v>4</v>
      </c>
      <c r="E243" s="27" t="str">
        <f t="shared" si="7"/>
        <v>sim</v>
      </c>
    </row>
    <row r="244" spans="2:5">
      <c r="B244" s="32">
        <v>45442</v>
      </c>
      <c r="C244" s="33">
        <f t="shared" si="6"/>
        <v>5</v>
      </c>
      <c r="D244" s="27" t="s">
        <v>184</v>
      </c>
      <c r="E244" s="27" t="str">
        <f t="shared" si="7"/>
        <v>não</v>
      </c>
    </row>
    <row r="245" spans="2:5">
      <c r="B245" s="32">
        <v>45443</v>
      </c>
      <c r="C245" s="33">
        <f t="shared" si="6"/>
        <v>6</v>
      </c>
      <c r="E245" s="27" t="str">
        <f t="shared" si="7"/>
        <v>sim</v>
      </c>
    </row>
    <row r="246" spans="2:5">
      <c r="B246" s="32">
        <v>45444</v>
      </c>
      <c r="C246" s="33">
        <f t="shared" si="6"/>
        <v>7</v>
      </c>
      <c r="E246" s="27" t="str">
        <f t="shared" si="7"/>
        <v>não</v>
      </c>
    </row>
    <row r="247" spans="2:5">
      <c r="B247" s="32">
        <v>45445</v>
      </c>
      <c r="C247" s="33">
        <f t="shared" si="6"/>
        <v>1</v>
      </c>
      <c r="E247" s="27" t="str">
        <f t="shared" si="7"/>
        <v>não</v>
      </c>
    </row>
    <row r="248" spans="2:5">
      <c r="B248" s="32">
        <v>45446</v>
      </c>
      <c r="C248" s="33">
        <f t="shared" si="6"/>
        <v>2</v>
      </c>
      <c r="E248" s="27" t="str">
        <f t="shared" si="7"/>
        <v>sim</v>
      </c>
    </row>
    <row r="249" spans="2:5">
      <c r="B249" s="32">
        <v>45447</v>
      </c>
      <c r="C249" s="33">
        <f t="shared" si="6"/>
        <v>3</v>
      </c>
      <c r="E249" s="27" t="str">
        <f t="shared" si="7"/>
        <v>sim</v>
      </c>
    </row>
    <row r="250" spans="2:5">
      <c r="B250" s="32">
        <v>45448</v>
      </c>
      <c r="C250" s="33">
        <f t="shared" si="6"/>
        <v>4</v>
      </c>
      <c r="E250" s="27" t="str">
        <f t="shared" si="7"/>
        <v>sim</v>
      </c>
    </row>
    <row r="251" spans="2:5">
      <c r="B251" s="32">
        <v>45449</v>
      </c>
      <c r="C251" s="33">
        <f t="shared" si="6"/>
        <v>5</v>
      </c>
      <c r="E251" s="27" t="str">
        <f t="shared" si="7"/>
        <v>sim</v>
      </c>
    </row>
    <row r="252" spans="2:5">
      <c r="B252" s="32">
        <v>45450</v>
      </c>
      <c r="C252" s="33">
        <f t="shared" si="6"/>
        <v>6</v>
      </c>
      <c r="E252" s="27" t="str">
        <f t="shared" si="7"/>
        <v>sim</v>
      </c>
    </row>
    <row r="253" spans="2:5">
      <c r="B253" s="32">
        <v>45451</v>
      </c>
      <c r="C253" s="33">
        <f t="shared" si="6"/>
        <v>7</v>
      </c>
      <c r="E253" s="27" t="str">
        <f t="shared" si="7"/>
        <v>não</v>
      </c>
    </row>
    <row r="254" spans="2:5">
      <c r="B254" s="32">
        <v>45452</v>
      </c>
      <c r="C254" s="33">
        <f t="shared" si="6"/>
        <v>1</v>
      </c>
      <c r="E254" s="27" t="str">
        <f t="shared" si="7"/>
        <v>não</v>
      </c>
    </row>
    <row r="255" spans="2:5">
      <c r="B255" s="32">
        <v>45453</v>
      </c>
      <c r="C255" s="33">
        <f t="shared" si="6"/>
        <v>2</v>
      </c>
      <c r="E255" s="27" t="str">
        <f t="shared" si="7"/>
        <v>sim</v>
      </c>
    </row>
    <row r="256" spans="2:5">
      <c r="B256" s="32">
        <v>45454</v>
      </c>
      <c r="C256" s="33">
        <f t="shared" si="6"/>
        <v>3</v>
      </c>
      <c r="E256" s="27" t="str">
        <f t="shared" si="7"/>
        <v>sim</v>
      </c>
    </row>
    <row r="257" spans="2:5">
      <c r="B257" s="32">
        <v>45455</v>
      </c>
      <c r="C257" s="33">
        <f t="shared" si="6"/>
        <v>4</v>
      </c>
      <c r="E257" s="27" t="str">
        <f t="shared" si="7"/>
        <v>sim</v>
      </c>
    </row>
    <row r="258" spans="2:5">
      <c r="B258" s="32">
        <v>45456</v>
      </c>
      <c r="C258" s="33">
        <f t="shared" si="6"/>
        <v>5</v>
      </c>
      <c r="E258" s="27" t="str">
        <f t="shared" si="7"/>
        <v>sim</v>
      </c>
    </row>
    <row r="259" spans="2:5">
      <c r="B259" s="32">
        <v>45457</v>
      </c>
      <c r="C259" s="33">
        <f t="shared" ref="C259:C322" si="8">WEEKDAY(B259)</f>
        <v>6</v>
      </c>
      <c r="E259" s="27" t="str">
        <f t="shared" ref="E259:E322" si="9">IF(D259&lt;&gt;"","não",IF(OR(C259=1,C259=7),"não","sim"))</f>
        <v>sim</v>
      </c>
    </row>
    <row r="260" spans="2:5">
      <c r="B260" s="32">
        <v>45458</v>
      </c>
      <c r="C260" s="33">
        <f t="shared" si="8"/>
        <v>7</v>
      </c>
      <c r="E260" s="27" t="str">
        <f t="shared" si="9"/>
        <v>não</v>
      </c>
    </row>
    <row r="261" spans="2:5">
      <c r="B261" s="32">
        <v>45459</v>
      </c>
      <c r="C261" s="33">
        <f t="shared" si="8"/>
        <v>1</v>
      </c>
      <c r="E261" s="27" t="str">
        <f t="shared" si="9"/>
        <v>não</v>
      </c>
    </row>
    <row r="262" spans="2:5">
      <c r="B262" s="32">
        <v>45460</v>
      </c>
      <c r="C262" s="33">
        <f t="shared" si="8"/>
        <v>2</v>
      </c>
      <c r="E262" s="27" t="str">
        <f t="shared" si="9"/>
        <v>sim</v>
      </c>
    </row>
    <row r="263" spans="2:5">
      <c r="B263" s="32">
        <v>45461</v>
      </c>
      <c r="C263" s="33">
        <f t="shared" si="8"/>
        <v>3</v>
      </c>
      <c r="E263" s="27" t="str">
        <f t="shared" si="9"/>
        <v>sim</v>
      </c>
    </row>
    <row r="264" spans="2:5">
      <c r="B264" s="32">
        <v>45462</v>
      </c>
      <c r="C264" s="33">
        <f t="shared" si="8"/>
        <v>4</v>
      </c>
      <c r="E264" s="27" t="str">
        <f t="shared" si="9"/>
        <v>sim</v>
      </c>
    </row>
    <row r="265" spans="2:5">
      <c r="B265" s="32">
        <v>45463</v>
      </c>
      <c r="C265" s="33">
        <f t="shared" si="8"/>
        <v>5</v>
      </c>
      <c r="E265" s="27" t="str">
        <f t="shared" si="9"/>
        <v>sim</v>
      </c>
    </row>
    <row r="266" spans="2:5">
      <c r="B266" s="32">
        <v>45464</v>
      </c>
      <c r="C266" s="33">
        <f t="shared" si="8"/>
        <v>6</v>
      </c>
      <c r="E266" s="27" t="str">
        <f t="shared" si="9"/>
        <v>sim</v>
      </c>
    </row>
    <row r="267" spans="2:5">
      <c r="B267" s="32">
        <v>45465</v>
      </c>
      <c r="C267" s="33">
        <f t="shared" si="8"/>
        <v>7</v>
      </c>
      <c r="E267" s="27" t="str">
        <f t="shared" si="9"/>
        <v>não</v>
      </c>
    </row>
    <row r="268" spans="2:5">
      <c r="B268" s="32">
        <v>45466</v>
      </c>
      <c r="C268" s="33">
        <f t="shared" si="8"/>
        <v>1</v>
      </c>
      <c r="E268" s="27" t="str">
        <f t="shared" si="9"/>
        <v>não</v>
      </c>
    </row>
    <row r="269" spans="2:5">
      <c r="B269" s="32">
        <v>45467</v>
      </c>
      <c r="C269" s="33">
        <f t="shared" si="8"/>
        <v>2</v>
      </c>
      <c r="E269" s="27" t="str">
        <f t="shared" si="9"/>
        <v>sim</v>
      </c>
    </row>
    <row r="270" spans="2:5">
      <c r="B270" s="32">
        <v>45468</v>
      </c>
      <c r="C270" s="33">
        <f t="shared" si="8"/>
        <v>3</v>
      </c>
      <c r="E270" s="27" t="str">
        <f t="shared" si="9"/>
        <v>sim</v>
      </c>
    </row>
    <row r="271" spans="2:5">
      <c r="B271" s="32">
        <v>45469</v>
      </c>
      <c r="C271" s="33">
        <f t="shared" si="8"/>
        <v>4</v>
      </c>
      <c r="E271" s="27" t="str">
        <f t="shared" si="9"/>
        <v>sim</v>
      </c>
    </row>
    <row r="272" spans="2:5">
      <c r="B272" s="32">
        <v>45470</v>
      </c>
      <c r="C272" s="33">
        <f t="shared" si="8"/>
        <v>5</v>
      </c>
      <c r="E272" s="27" t="str">
        <f t="shared" si="9"/>
        <v>sim</v>
      </c>
    </row>
    <row r="273" spans="2:5">
      <c r="B273" s="32">
        <v>45471</v>
      </c>
      <c r="C273" s="33">
        <f t="shared" si="8"/>
        <v>6</v>
      </c>
      <c r="E273" s="27" t="str">
        <f t="shared" si="9"/>
        <v>sim</v>
      </c>
    </row>
    <row r="274" spans="2:5">
      <c r="B274" s="32">
        <v>45472</v>
      </c>
      <c r="C274" s="33">
        <f t="shared" si="8"/>
        <v>7</v>
      </c>
      <c r="E274" s="27" t="str">
        <f t="shared" si="9"/>
        <v>não</v>
      </c>
    </row>
    <row r="275" spans="2:5">
      <c r="B275" s="32">
        <v>45473</v>
      </c>
      <c r="C275" s="33">
        <f t="shared" si="8"/>
        <v>1</v>
      </c>
      <c r="E275" s="27" t="str">
        <f t="shared" si="9"/>
        <v>não</v>
      </c>
    </row>
    <row r="276" spans="2:5">
      <c r="B276" s="32">
        <v>45474</v>
      </c>
      <c r="C276" s="33">
        <f t="shared" si="8"/>
        <v>2</v>
      </c>
      <c r="E276" s="27" t="str">
        <f t="shared" si="9"/>
        <v>sim</v>
      </c>
    </row>
    <row r="277" spans="2:5">
      <c r="B277" s="32">
        <v>45475</v>
      </c>
      <c r="C277" s="33">
        <f t="shared" si="8"/>
        <v>3</v>
      </c>
      <c r="E277" s="27" t="str">
        <f t="shared" si="9"/>
        <v>sim</v>
      </c>
    </row>
    <row r="278" spans="2:5">
      <c r="B278" s="32">
        <v>45476</v>
      </c>
      <c r="C278" s="33">
        <f t="shared" si="8"/>
        <v>4</v>
      </c>
      <c r="E278" s="27" t="str">
        <f t="shared" si="9"/>
        <v>sim</v>
      </c>
    </row>
    <row r="279" spans="2:5">
      <c r="B279" s="32">
        <v>45477</v>
      </c>
      <c r="C279" s="33">
        <f t="shared" si="8"/>
        <v>5</v>
      </c>
      <c r="E279" s="27" t="str">
        <f t="shared" si="9"/>
        <v>sim</v>
      </c>
    </row>
    <row r="280" spans="2:5">
      <c r="B280" s="32">
        <v>45478</v>
      </c>
      <c r="C280" s="33">
        <f t="shared" si="8"/>
        <v>6</v>
      </c>
      <c r="E280" s="27" t="str">
        <f t="shared" si="9"/>
        <v>sim</v>
      </c>
    </row>
    <row r="281" spans="2:5">
      <c r="B281" s="32">
        <v>45479</v>
      </c>
      <c r="C281" s="33">
        <f t="shared" si="8"/>
        <v>7</v>
      </c>
      <c r="E281" s="27" t="str">
        <f t="shared" si="9"/>
        <v>não</v>
      </c>
    </row>
    <row r="282" spans="2:5">
      <c r="B282" s="32">
        <v>45480</v>
      </c>
      <c r="C282" s="33">
        <f t="shared" si="8"/>
        <v>1</v>
      </c>
      <c r="E282" s="27" t="str">
        <f t="shared" si="9"/>
        <v>não</v>
      </c>
    </row>
    <row r="283" spans="2:5">
      <c r="B283" s="32">
        <v>45481</v>
      </c>
      <c r="C283" s="33">
        <f t="shared" si="8"/>
        <v>2</v>
      </c>
      <c r="E283" s="27" t="str">
        <f t="shared" si="9"/>
        <v>sim</v>
      </c>
    </row>
    <row r="284" spans="2:5">
      <c r="B284" s="32">
        <v>45482</v>
      </c>
      <c r="C284" s="33">
        <f t="shared" si="8"/>
        <v>3</v>
      </c>
      <c r="E284" s="27" t="str">
        <f t="shared" si="9"/>
        <v>sim</v>
      </c>
    </row>
    <row r="285" spans="2:5">
      <c r="B285" s="32">
        <v>45483</v>
      </c>
      <c r="C285" s="33">
        <f t="shared" si="8"/>
        <v>4</v>
      </c>
      <c r="E285" s="27" t="str">
        <f t="shared" si="9"/>
        <v>sim</v>
      </c>
    </row>
    <row r="286" spans="2:5">
      <c r="B286" s="32">
        <v>45484</v>
      </c>
      <c r="C286" s="33">
        <f t="shared" si="8"/>
        <v>5</v>
      </c>
      <c r="E286" s="27" t="str">
        <f t="shared" si="9"/>
        <v>sim</v>
      </c>
    </row>
    <row r="287" spans="2:5">
      <c r="B287" s="32">
        <v>45485</v>
      </c>
      <c r="C287" s="33">
        <f t="shared" si="8"/>
        <v>6</v>
      </c>
      <c r="E287" s="27" t="str">
        <f t="shared" si="9"/>
        <v>sim</v>
      </c>
    </row>
    <row r="288" spans="2:5">
      <c r="B288" s="32">
        <v>45486</v>
      </c>
      <c r="C288" s="33">
        <f t="shared" si="8"/>
        <v>7</v>
      </c>
      <c r="E288" s="27" t="str">
        <f t="shared" si="9"/>
        <v>não</v>
      </c>
    </row>
    <row r="289" spans="2:5">
      <c r="B289" s="32">
        <v>45487</v>
      </c>
      <c r="C289" s="33">
        <f t="shared" si="8"/>
        <v>1</v>
      </c>
      <c r="E289" s="27" t="str">
        <f t="shared" si="9"/>
        <v>não</v>
      </c>
    </row>
    <row r="290" spans="2:5">
      <c r="B290" s="32">
        <v>45488</v>
      </c>
      <c r="C290" s="33">
        <f t="shared" si="8"/>
        <v>2</v>
      </c>
      <c r="E290" s="27" t="str">
        <f t="shared" si="9"/>
        <v>sim</v>
      </c>
    </row>
    <row r="291" spans="2:5">
      <c r="B291" s="32">
        <v>45489</v>
      </c>
      <c r="C291" s="33">
        <f t="shared" si="8"/>
        <v>3</v>
      </c>
      <c r="E291" s="27" t="str">
        <f t="shared" si="9"/>
        <v>sim</v>
      </c>
    </row>
    <row r="292" spans="2:5">
      <c r="B292" s="32">
        <v>45490</v>
      </c>
      <c r="C292" s="33">
        <f t="shared" si="8"/>
        <v>4</v>
      </c>
      <c r="E292" s="27" t="str">
        <f t="shared" si="9"/>
        <v>sim</v>
      </c>
    </row>
    <row r="293" spans="2:5">
      <c r="B293" s="32">
        <v>45491</v>
      </c>
      <c r="C293" s="33">
        <f t="shared" si="8"/>
        <v>5</v>
      </c>
      <c r="E293" s="27" t="str">
        <f t="shared" si="9"/>
        <v>sim</v>
      </c>
    </row>
    <row r="294" spans="2:5">
      <c r="B294" s="32">
        <v>45492</v>
      </c>
      <c r="C294" s="33">
        <f t="shared" si="8"/>
        <v>6</v>
      </c>
      <c r="E294" s="27" t="str">
        <f t="shared" si="9"/>
        <v>sim</v>
      </c>
    </row>
    <row r="295" spans="2:5">
      <c r="B295" s="32">
        <v>45493</v>
      </c>
      <c r="C295" s="33">
        <f t="shared" si="8"/>
        <v>7</v>
      </c>
      <c r="E295" s="27" t="str">
        <f t="shared" si="9"/>
        <v>não</v>
      </c>
    </row>
    <row r="296" spans="2:5">
      <c r="B296" s="32">
        <v>45494</v>
      </c>
      <c r="C296" s="33">
        <f t="shared" si="8"/>
        <v>1</v>
      </c>
      <c r="E296" s="27" t="str">
        <f t="shared" si="9"/>
        <v>não</v>
      </c>
    </row>
    <row r="297" spans="2:5">
      <c r="B297" s="32">
        <v>45495</v>
      </c>
      <c r="C297" s="33">
        <f t="shared" si="8"/>
        <v>2</v>
      </c>
      <c r="E297" s="27" t="str">
        <f t="shared" si="9"/>
        <v>sim</v>
      </c>
    </row>
    <row r="298" spans="2:5">
      <c r="B298" s="32">
        <v>45496</v>
      </c>
      <c r="C298" s="33">
        <f t="shared" si="8"/>
        <v>3</v>
      </c>
      <c r="E298" s="27" t="str">
        <f t="shared" si="9"/>
        <v>sim</v>
      </c>
    </row>
    <row r="299" spans="2:5">
      <c r="B299" s="32">
        <v>45497</v>
      </c>
      <c r="C299" s="33">
        <f t="shared" si="8"/>
        <v>4</v>
      </c>
      <c r="E299" s="27" t="str">
        <f t="shared" si="9"/>
        <v>sim</v>
      </c>
    </row>
    <row r="300" spans="2:5">
      <c r="B300" s="32">
        <v>45498</v>
      </c>
      <c r="C300" s="33">
        <f t="shared" si="8"/>
        <v>5</v>
      </c>
      <c r="E300" s="27" t="str">
        <f t="shared" si="9"/>
        <v>sim</v>
      </c>
    </row>
    <row r="301" spans="2:5">
      <c r="B301" s="32">
        <v>45499</v>
      </c>
      <c r="C301" s="33">
        <f t="shared" si="8"/>
        <v>6</v>
      </c>
      <c r="E301" s="27" t="str">
        <f t="shared" si="9"/>
        <v>sim</v>
      </c>
    </row>
    <row r="302" spans="2:5">
      <c r="B302" s="32">
        <v>45500</v>
      </c>
      <c r="C302" s="33">
        <f t="shared" si="8"/>
        <v>7</v>
      </c>
      <c r="E302" s="27" t="str">
        <f t="shared" si="9"/>
        <v>não</v>
      </c>
    </row>
    <row r="303" spans="2:5">
      <c r="B303" s="32">
        <v>45501</v>
      </c>
      <c r="C303" s="33">
        <f t="shared" si="8"/>
        <v>1</v>
      </c>
      <c r="E303" s="27" t="str">
        <f t="shared" si="9"/>
        <v>não</v>
      </c>
    </row>
    <row r="304" spans="2:5">
      <c r="B304" s="32">
        <v>45502</v>
      </c>
      <c r="C304" s="33">
        <f t="shared" si="8"/>
        <v>2</v>
      </c>
      <c r="E304" s="27" t="str">
        <f t="shared" si="9"/>
        <v>sim</v>
      </c>
    </row>
    <row r="305" spans="2:5">
      <c r="B305" s="32">
        <v>45503</v>
      </c>
      <c r="C305" s="33">
        <f t="shared" si="8"/>
        <v>3</v>
      </c>
      <c r="E305" s="27" t="str">
        <f t="shared" si="9"/>
        <v>sim</v>
      </c>
    </row>
    <row r="306" spans="2:5">
      <c r="B306" s="32">
        <v>45504</v>
      </c>
      <c r="C306" s="33">
        <f t="shared" si="8"/>
        <v>4</v>
      </c>
      <c r="E306" s="27" t="str">
        <f t="shared" si="9"/>
        <v>sim</v>
      </c>
    </row>
    <row r="307" spans="2:5">
      <c r="B307" s="32">
        <v>45505</v>
      </c>
      <c r="C307" s="33">
        <f t="shared" si="8"/>
        <v>5</v>
      </c>
      <c r="E307" s="27" t="str">
        <f t="shared" si="9"/>
        <v>sim</v>
      </c>
    </row>
    <row r="308" spans="2:5">
      <c r="B308" s="32">
        <v>45506</v>
      </c>
      <c r="C308" s="33">
        <f t="shared" si="8"/>
        <v>6</v>
      </c>
      <c r="E308" s="27" t="str">
        <f t="shared" si="9"/>
        <v>sim</v>
      </c>
    </row>
    <row r="309" spans="2:5">
      <c r="B309" s="32">
        <v>45507</v>
      </c>
      <c r="C309" s="33">
        <f t="shared" si="8"/>
        <v>7</v>
      </c>
      <c r="E309" s="27" t="str">
        <f t="shared" si="9"/>
        <v>não</v>
      </c>
    </row>
    <row r="310" spans="2:5">
      <c r="B310" s="32">
        <v>45508</v>
      </c>
      <c r="C310" s="33">
        <f t="shared" si="8"/>
        <v>1</v>
      </c>
      <c r="E310" s="27" t="str">
        <f t="shared" si="9"/>
        <v>não</v>
      </c>
    </row>
    <row r="311" spans="2:5">
      <c r="B311" s="32">
        <v>45509</v>
      </c>
      <c r="C311" s="33">
        <f t="shared" si="8"/>
        <v>2</v>
      </c>
      <c r="E311" s="27" t="str">
        <f t="shared" si="9"/>
        <v>sim</v>
      </c>
    </row>
    <row r="312" spans="2:5">
      <c r="B312" s="32">
        <v>45510</v>
      </c>
      <c r="C312" s="33">
        <f t="shared" si="8"/>
        <v>3</v>
      </c>
      <c r="E312" s="27" t="str">
        <f t="shared" si="9"/>
        <v>sim</v>
      </c>
    </row>
    <row r="313" spans="2:5">
      <c r="B313" s="32">
        <v>45511</v>
      </c>
      <c r="C313" s="33">
        <f t="shared" si="8"/>
        <v>4</v>
      </c>
      <c r="E313" s="27" t="str">
        <f t="shared" si="9"/>
        <v>sim</v>
      </c>
    </row>
    <row r="314" spans="2:5">
      <c r="B314" s="32">
        <v>45512</v>
      </c>
      <c r="C314" s="33">
        <f t="shared" si="8"/>
        <v>5</v>
      </c>
      <c r="E314" s="27" t="str">
        <f t="shared" si="9"/>
        <v>sim</v>
      </c>
    </row>
    <row r="315" spans="2:5">
      <c r="B315" s="32">
        <v>45513</v>
      </c>
      <c r="C315" s="33">
        <f t="shared" si="8"/>
        <v>6</v>
      </c>
      <c r="E315" s="27" t="str">
        <f t="shared" si="9"/>
        <v>sim</v>
      </c>
    </row>
    <row r="316" spans="2:5">
      <c r="B316" s="32">
        <v>45514</v>
      </c>
      <c r="C316" s="33">
        <f t="shared" si="8"/>
        <v>7</v>
      </c>
      <c r="E316" s="27" t="str">
        <f t="shared" si="9"/>
        <v>não</v>
      </c>
    </row>
    <row r="317" spans="2:5">
      <c r="B317" s="32">
        <v>45515</v>
      </c>
      <c r="C317" s="33">
        <f t="shared" si="8"/>
        <v>1</v>
      </c>
      <c r="E317" s="27" t="str">
        <f t="shared" si="9"/>
        <v>não</v>
      </c>
    </row>
    <row r="318" spans="2:5">
      <c r="B318" s="32">
        <v>45516</v>
      </c>
      <c r="C318" s="33">
        <f t="shared" si="8"/>
        <v>2</v>
      </c>
      <c r="E318" s="27" t="str">
        <f t="shared" si="9"/>
        <v>sim</v>
      </c>
    </row>
    <row r="319" spans="2:5">
      <c r="B319" s="32">
        <v>45517</v>
      </c>
      <c r="C319" s="33">
        <f t="shared" si="8"/>
        <v>3</v>
      </c>
      <c r="E319" s="27" t="str">
        <f t="shared" si="9"/>
        <v>sim</v>
      </c>
    </row>
    <row r="320" spans="2:5">
      <c r="B320" s="32">
        <v>45518</v>
      </c>
      <c r="C320" s="33">
        <f t="shared" si="8"/>
        <v>4</v>
      </c>
      <c r="E320" s="27" t="str">
        <f t="shared" si="9"/>
        <v>sim</v>
      </c>
    </row>
    <row r="321" spans="2:5">
      <c r="B321" s="32">
        <v>45519</v>
      </c>
      <c r="C321" s="33">
        <f t="shared" si="8"/>
        <v>5</v>
      </c>
      <c r="E321" s="27" t="str">
        <f t="shared" si="9"/>
        <v>sim</v>
      </c>
    </row>
    <row r="322" spans="2:5">
      <c r="B322" s="32">
        <v>45520</v>
      </c>
      <c r="C322" s="33">
        <f t="shared" si="8"/>
        <v>6</v>
      </c>
      <c r="E322" s="27" t="str">
        <f t="shared" si="9"/>
        <v>sim</v>
      </c>
    </row>
    <row r="323" spans="2:5">
      <c r="B323" s="32">
        <v>45521</v>
      </c>
      <c r="C323" s="33">
        <f t="shared" ref="C323:C386" si="10">WEEKDAY(B323)</f>
        <v>7</v>
      </c>
      <c r="E323" s="27" t="str">
        <f t="shared" ref="E323:E386" si="11">IF(D323&lt;&gt;"","não",IF(OR(C323=1,C323=7),"não","sim"))</f>
        <v>não</v>
      </c>
    </row>
    <row r="324" spans="2:5">
      <c r="B324" s="32">
        <v>45522</v>
      </c>
      <c r="C324" s="33">
        <f t="shared" si="10"/>
        <v>1</v>
      </c>
      <c r="E324" s="27" t="str">
        <f t="shared" si="11"/>
        <v>não</v>
      </c>
    </row>
    <row r="325" spans="2:5">
      <c r="B325" s="32">
        <v>45523</v>
      </c>
      <c r="C325" s="33">
        <f t="shared" si="10"/>
        <v>2</v>
      </c>
      <c r="E325" s="27" t="str">
        <f t="shared" si="11"/>
        <v>sim</v>
      </c>
    </row>
    <row r="326" spans="2:5">
      <c r="B326" s="32">
        <v>45524</v>
      </c>
      <c r="C326" s="33">
        <f t="shared" si="10"/>
        <v>3</v>
      </c>
      <c r="E326" s="27" t="str">
        <f t="shared" si="11"/>
        <v>sim</v>
      </c>
    </row>
    <row r="327" spans="2:5">
      <c r="B327" s="32">
        <v>45525</v>
      </c>
      <c r="C327" s="33">
        <f t="shared" si="10"/>
        <v>4</v>
      </c>
      <c r="E327" s="27" t="str">
        <f t="shared" si="11"/>
        <v>sim</v>
      </c>
    </row>
    <row r="328" spans="2:5">
      <c r="B328" s="32">
        <v>45526</v>
      </c>
      <c r="C328" s="33">
        <f t="shared" si="10"/>
        <v>5</v>
      </c>
      <c r="E328" s="27" t="str">
        <f t="shared" si="11"/>
        <v>sim</v>
      </c>
    </row>
    <row r="329" spans="2:5">
      <c r="B329" s="32">
        <v>45527</v>
      </c>
      <c r="C329" s="33">
        <f t="shared" si="10"/>
        <v>6</v>
      </c>
      <c r="E329" s="27" t="str">
        <f t="shared" si="11"/>
        <v>sim</v>
      </c>
    </row>
    <row r="330" spans="2:5">
      <c r="B330" s="32">
        <v>45528</v>
      </c>
      <c r="C330" s="33">
        <f t="shared" si="10"/>
        <v>7</v>
      </c>
      <c r="E330" s="27" t="str">
        <f t="shared" si="11"/>
        <v>não</v>
      </c>
    </row>
    <row r="331" spans="2:5">
      <c r="B331" s="32">
        <v>45529</v>
      </c>
      <c r="C331" s="33">
        <f t="shared" si="10"/>
        <v>1</v>
      </c>
      <c r="E331" s="27" t="str">
        <f t="shared" si="11"/>
        <v>não</v>
      </c>
    </row>
    <row r="332" spans="2:5">
      <c r="B332" s="32">
        <v>45530</v>
      </c>
      <c r="C332" s="33">
        <f t="shared" si="10"/>
        <v>2</v>
      </c>
      <c r="E332" s="27" t="str">
        <f t="shared" si="11"/>
        <v>sim</v>
      </c>
    </row>
    <row r="333" spans="2:5">
      <c r="B333" s="32">
        <v>45531</v>
      </c>
      <c r="C333" s="33">
        <f t="shared" si="10"/>
        <v>3</v>
      </c>
      <c r="E333" s="27" t="str">
        <f t="shared" si="11"/>
        <v>sim</v>
      </c>
    </row>
    <row r="334" spans="2:5">
      <c r="B334" s="32">
        <v>45532</v>
      </c>
      <c r="C334" s="33">
        <f t="shared" si="10"/>
        <v>4</v>
      </c>
      <c r="E334" s="27" t="str">
        <f t="shared" si="11"/>
        <v>sim</v>
      </c>
    </row>
    <row r="335" spans="2:5">
      <c r="B335" s="32">
        <v>45533</v>
      </c>
      <c r="C335" s="33">
        <f t="shared" si="10"/>
        <v>5</v>
      </c>
      <c r="E335" s="27" t="str">
        <f t="shared" si="11"/>
        <v>sim</v>
      </c>
    </row>
    <row r="336" spans="2:5">
      <c r="B336" s="32">
        <v>45534</v>
      </c>
      <c r="C336" s="33">
        <f t="shared" si="10"/>
        <v>6</v>
      </c>
      <c r="E336" s="27" t="str">
        <f t="shared" si="11"/>
        <v>sim</v>
      </c>
    </row>
    <row r="337" spans="2:5">
      <c r="B337" s="32">
        <v>45535</v>
      </c>
      <c r="C337" s="33">
        <f t="shared" si="10"/>
        <v>7</v>
      </c>
      <c r="E337" s="27" t="str">
        <f t="shared" si="11"/>
        <v>não</v>
      </c>
    </row>
    <row r="338" spans="2:5">
      <c r="B338" s="32">
        <v>45536</v>
      </c>
      <c r="C338" s="33">
        <f t="shared" si="10"/>
        <v>1</v>
      </c>
      <c r="E338" s="27" t="str">
        <f t="shared" si="11"/>
        <v>não</v>
      </c>
    </row>
    <row r="339" spans="2:5">
      <c r="B339" s="32">
        <v>45537</v>
      </c>
      <c r="C339" s="33">
        <f t="shared" si="10"/>
        <v>2</v>
      </c>
      <c r="E339" s="27" t="str">
        <f t="shared" si="11"/>
        <v>sim</v>
      </c>
    </row>
    <row r="340" spans="2:5">
      <c r="B340" s="32">
        <v>45538</v>
      </c>
      <c r="C340" s="33">
        <f t="shared" si="10"/>
        <v>3</v>
      </c>
      <c r="E340" s="27" t="str">
        <f t="shared" si="11"/>
        <v>sim</v>
      </c>
    </row>
    <row r="341" spans="2:5">
      <c r="B341" s="32">
        <v>45539</v>
      </c>
      <c r="C341" s="33">
        <f t="shared" si="10"/>
        <v>4</v>
      </c>
      <c r="E341" s="27" t="str">
        <f t="shared" si="11"/>
        <v>sim</v>
      </c>
    </row>
    <row r="342" spans="2:5">
      <c r="B342" s="32">
        <v>45540</v>
      </c>
      <c r="C342" s="33">
        <f t="shared" si="10"/>
        <v>5</v>
      </c>
      <c r="E342" s="27" t="str">
        <f t="shared" si="11"/>
        <v>sim</v>
      </c>
    </row>
    <row r="343" spans="2:5">
      <c r="B343" s="32">
        <v>45541</v>
      </c>
      <c r="C343" s="33">
        <f t="shared" si="10"/>
        <v>6</v>
      </c>
      <c r="E343" s="27" t="str">
        <f t="shared" si="11"/>
        <v>sim</v>
      </c>
    </row>
    <row r="344" spans="2:5">
      <c r="B344" s="32">
        <v>45542</v>
      </c>
      <c r="C344" s="33">
        <f t="shared" si="10"/>
        <v>7</v>
      </c>
      <c r="D344" s="27" t="s">
        <v>282</v>
      </c>
      <c r="E344" s="27" t="str">
        <f t="shared" si="11"/>
        <v>não</v>
      </c>
    </row>
    <row r="345" spans="2:5">
      <c r="B345" s="32">
        <v>45543</v>
      </c>
      <c r="C345" s="33">
        <f t="shared" si="10"/>
        <v>1</v>
      </c>
      <c r="E345" s="27" t="str">
        <f t="shared" si="11"/>
        <v>não</v>
      </c>
    </row>
    <row r="346" spans="2:5">
      <c r="B346" s="32">
        <v>45544</v>
      </c>
      <c r="C346" s="33">
        <f t="shared" si="10"/>
        <v>2</v>
      </c>
      <c r="E346" s="27" t="str">
        <f t="shared" si="11"/>
        <v>sim</v>
      </c>
    </row>
    <row r="347" spans="2:5">
      <c r="B347" s="32">
        <v>45545</v>
      </c>
      <c r="C347" s="33">
        <f t="shared" si="10"/>
        <v>3</v>
      </c>
      <c r="E347" s="27" t="str">
        <f t="shared" si="11"/>
        <v>sim</v>
      </c>
    </row>
    <row r="348" spans="2:5">
      <c r="B348" s="32">
        <v>45546</v>
      </c>
      <c r="C348" s="33">
        <f t="shared" si="10"/>
        <v>4</v>
      </c>
      <c r="E348" s="27" t="str">
        <f t="shared" si="11"/>
        <v>sim</v>
      </c>
    </row>
    <row r="349" spans="2:5">
      <c r="B349" s="32">
        <v>45547</v>
      </c>
      <c r="C349" s="33">
        <f t="shared" si="10"/>
        <v>5</v>
      </c>
      <c r="E349" s="27" t="str">
        <f t="shared" si="11"/>
        <v>sim</v>
      </c>
    </row>
    <row r="350" spans="2:5">
      <c r="B350" s="32">
        <v>45548</v>
      </c>
      <c r="C350" s="33">
        <f t="shared" si="10"/>
        <v>6</v>
      </c>
      <c r="E350" s="27" t="str">
        <f t="shared" si="11"/>
        <v>sim</v>
      </c>
    </row>
    <row r="351" spans="2:5">
      <c r="B351" s="32">
        <v>45549</v>
      </c>
      <c r="C351" s="33">
        <f t="shared" si="10"/>
        <v>7</v>
      </c>
      <c r="E351" s="27" t="str">
        <f t="shared" si="11"/>
        <v>não</v>
      </c>
    </row>
    <row r="352" spans="2:5">
      <c r="B352" s="32">
        <v>45550</v>
      </c>
      <c r="C352" s="33">
        <f t="shared" si="10"/>
        <v>1</v>
      </c>
      <c r="E352" s="27" t="str">
        <f t="shared" si="11"/>
        <v>não</v>
      </c>
    </row>
    <row r="353" spans="2:5">
      <c r="B353" s="32">
        <v>45551</v>
      </c>
      <c r="C353" s="33">
        <f t="shared" si="10"/>
        <v>2</v>
      </c>
      <c r="E353" s="27" t="str">
        <f t="shared" si="11"/>
        <v>sim</v>
      </c>
    </row>
    <row r="354" spans="2:5">
      <c r="B354" s="32">
        <v>45552</v>
      </c>
      <c r="C354" s="33">
        <f t="shared" si="10"/>
        <v>3</v>
      </c>
      <c r="E354" s="27" t="str">
        <f t="shared" si="11"/>
        <v>sim</v>
      </c>
    </row>
    <row r="355" spans="2:5">
      <c r="B355" s="32">
        <v>45553</v>
      </c>
      <c r="C355" s="33">
        <f t="shared" si="10"/>
        <v>4</v>
      </c>
      <c r="E355" s="27" t="str">
        <f t="shared" si="11"/>
        <v>sim</v>
      </c>
    </row>
    <row r="356" spans="2:5">
      <c r="B356" s="32">
        <v>45554</v>
      </c>
      <c r="C356" s="33">
        <f t="shared" si="10"/>
        <v>5</v>
      </c>
      <c r="E356" s="27" t="str">
        <f t="shared" si="11"/>
        <v>sim</v>
      </c>
    </row>
    <row r="357" spans="2:5">
      <c r="B357" s="32">
        <v>45555</v>
      </c>
      <c r="C357" s="33">
        <f t="shared" si="10"/>
        <v>6</v>
      </c>
      <c r="E357" s="27" t="str">
        <f t="shared" si="11"/>
        <v>sim</v>
      </c>
    </row>
    <row r="358" spans="2:5">
      <c r="B358" s="32">
        <v>45556</v>
      </c>
      <c r="C358" s="33">
        <f t="shared" si="10"/>
        <v>7</v>
      </c>
      <c r="E358" s="27" t="str">
        <f t="shared" si="11"/>
        <v>não</v>
      </c>
    </row>
    <row r="359" spans="2:5">
      <c r="B359" s="32">
        <v>45557</v>
      </c>
      <c r="C359" s="33">
        <f t="shared" si="10"/>
        <v>1</v>
      </c>
      <c r="E359" s="27" t="str">
        <f t="shared" si="11"/>
        <v>não</v>
      </c>
    </row>
    <row r="360" spans="2:5">
      <c r="B360" s="32">
        <v>45558</v>
      </c>
      <c r="C360" s="33">
        <f t="shared" si="10"/>
        <v>2</v>
      </c>
      <c r="E360" s="27" t="str">
        <f t="shared" si="11"/>
        <v>sim</v>
      </c>
    </row>
    <row r="361" spans="2:5">
      <c r="B361" s="32">
        <v>45559</v>
      </c>
      <c r="C361" s="33">
        <f t="shared" si="10"/>
        <v>3</v>
      </c>
      <c r="E361" s="27" t="str">
        <f t="shared" si="11"/>
        <v>sim</v>
      </c>
    </row>
    <row r="362" spans="2:5">
      <c r="B362" s="32">
        <v>45560</v>
      </c>
      <c r="C362" s="33">
        <f t="shared" si="10"/>
        <v>4</v>
      </c>
      <c r="E362" s="27" t="str">
        <f t="shared" si="11"/>
        <v>sim</v>
      </c>
    </row>
    <row r="363" spans="2:5">
      <c r="B363" s="32">
        <v>45561</v>
      </c>
      <c r="C363" s="33">
        <f t="shared" si="10"/>
        <v>5</v>
      </c>
      <c r="E363" s="27" t="str">
        <f t="shared" si="11"/>
        <v>sim</v>
      </c>
    </row>
    <row r="364" spans="2:5">
      <c r="B364" s="32">
        <v>45562</v>
      </c>
      <c r="C364" s="33">
        <f t="shared" si="10"/>
        <v>6</v>
      </c>
      <c r="E364" s="27" t="str">
        <f t="shared" si="11"/>
        <v>sim</v>
      </c>
    </row>
    <row r="365" spans="2:5">
      <c r="B365" s="32">
        <v>45563</v>
      </c>
      <c r="C365" s="33">
        <f t="shared" si="10"/>
        <v>7</v>
      </c>
      <c r="E365" s="27" t="str">
        <f t="shared" si="11"/>
        <v>não</v>
      </c>
    </row>
    <row r="366" spans="2:5">
      <c r="B366" s="32">
        <v>45564</v>
      </c>
      <c r="C366" s="33">
        <f t="shared" si="10"/>
        <v>1</v>
      </c>
      <c r="E366" s="27" t="str">
        <f t="shared" si="11"/>
        <v>não</v>
      </c>
    </row>
    <row r="367" spans="2:5">
      <c r="B367" s="32">
        <v>45565</v>
      </c>
      <c r="C367" s="33">
        <f t="shared" si="10"/>
        <v>2</v>
      </c>
      <c r="E367" s="27" t="str">
        <f t="shared" si="11"/>
        <v>sim</v>
      </c>
    </row>
    <row r="368" spans="2:5">
      <c r="B368" s="32">
        <v>45566</v>
      </c>
      <c r="C368" s="33">
        <f t="shared" si="10"/>
        <v>3</v>
      </c>
      <c r="E368" s="27" t="str">
        <f t="shared" si="11"/>
        <v>sim</v>
      </c>
    </row>
    <row r="369" spans="2:5">
      <c r="B369" s="32">
        <v>45567</v>
      </c>
      <c r="C369" s="33">
        <f t="shared" si="10"/>
        <v>4</v>
      </c>
      <c r="E369" s="27" t="str">
        <f t="shared" si="11"/>
        <v>sim</v>
      </c>
    </row>
    <row r="370" spans="2:5">
      <c r="B370" s="32">
        <v>45568</v>
      </c>
      <c r="C370" s="33">
        <f t="shared" si="10"/>
        <v>5</v>
      </c>
      <c r="E370" s="27" t="str">
        <f t="shared" si="11"/>
        <v>sim</v>
      </c>
    </row>
    <row r="371" spans="2:5">
      <c r="B371" s="32">
        <v>45569</v>
      </c>
      <c r="C371" s="33">
        <f t="shared" si="10"/>
        <v>6</v>
      </c>
      <c r="E371" s="27" t="str">
        <f t="shared" si="11"/>
        <v>sim</v>
      </c>
    </row>
    <row r="372" spans="2:5">
      <c r="B372" s="32">
        <v>45570</v>
      </c>
      <c r="C372" s="33">
        <f t="shared" si="10"/>
        <v>7</v>
      </c>
      <c r="E372" s="27" t="str">
        <f t="shared" si="11"/>
        <v>não</v>
      </c>
    </row>
    <row r="373" spans="2:5">
      <c r="B373" s="32">
        <v>45571</v>
      </c>
      <c r="C373" s="33">
        <f t="shared" si="10"/>
        <v>1</v>
      </c>
      <c r="E373" s="27" t="str">
        <f t="shared" si="11"/>
        <v>não</v>
      </c>
    </row>
    <row r="374" spans="2:5">
      <c r="B374" s="32">
        <v>45572</v>
      </c>
      <c r="C374" s="33">
        <f t="shared" si="10"/>
        <v>2</v>
      </c>
      <c r="E374" s="27" t="str">
        <f t="shared" si="11"/>
        <v>sim</v>
      </c>
    </row>
    <row r="375" spans="2:5">
      <c r="B375" s="32">
        <v>45573</v>
      </c>
      <c r="C375" s="33">
        <f t="shared" si="10"/>
        <v>3</v>
      </c>
      <c r="E375" s="27" t="str">
        <f t="shared" si="11"/>
        <v>sim</v>
      </c>
    </row>
    <row r="376" spans="2:5">
      <c r="B376" s="32">
        <v>45574</v>
      </c>
      <c r="C376" s="33">
        <f t="shared" si="10"/>
        <v>4</v>
      </c>
      <c r="E376" s="27" t="str">
        <f t="shared" si="11"/>
        <v>sim</v>
      </c>
    </row>
    <row r="377" spans="2:5">
      <c r="B377" s="32">
        <v>45575</v>
      </c>
      <c r="C377" s="33">
        <f t="shared" si="10"/>
        <v>5</v>
      </c>
      <c r="E377" s="27" t="str">
        <f t="shared" si="11"/>
        <v>sim</v>
      </c>
    </row>
    <row r="378" spans="2:5">
      <c r="B378" s="32">
        <v>45576</v>
      </c>
      <c r="C378" s="33">
        <f t="shared" si="10"/>
        <v>6</v>
      </c>
      <c r="E378" s="27" t="str">
        <f t="shared" si="11"/>
        <v>sim</v>
      </c>
    </row>
    <row r="379" spans="2:5">
      <c r="B379" s="32">
        <v>45577</v>
      </c>
      <c r="C379" s="33">
        <f t="shared" si="10"/>
        <v>7</v>
      </c>
      <c r="D379" s="27" t="s">
        <v>277</v>
      </c>
      <c r="E379" s="27" t="str">
        <f t="shared" si="11"/>
        <v>não</v>
      </c>
    </row>
    <row r="380" spans="2:5">
      <c r="B380" s="32">
        <v>45578</v>
      </c>
      <c r="C380" s="33">
        <f t="shared" si="10"/>
        <v>1</v>
      </c>
      <c r="E380" s="27" t="str">
        <f t="shared" si="11"/>
        <v>não</v>
      </c>
    </row>
    <row r="381" spans="2:5">
      <c r="B381" s="32">
        <v>45579</v>
      </c>
      <c r="C381" s="33">
        <f t="shared" si="10"/>
        <v>2</v>
      </c>
      <c r="E381" s="27" t="str">
        <f t="shared" si="11"/>
        <v>sim</v>
      </c>
    </row>
    <row r="382" spans="2:5">
      <c r="B382" s="32">
        <v>45580</v>
      </c>
      <c r="C382" s="33">
        <f t="shared" si="10"/>
        <v>3</v>
      </c>
      <c r="E382" s="27" t="str">
        <f t="shared" si="11"/>
        <v>sim</v>
      </c>
    </row>
    <row r="383" spans="2:5">
      <c r="B383" s="32">
        <v>45581</v>
      </c>
      <c r="C383" s="33">
        <f t="shared" si="10"/>
        <v>4</v>
      </c>
      <c r="E383" s="27" t="str">
        <f t="shared" si="11"/>
        <v>sim</v>
      </c>
    </row>
    <row r="384" spans="2:5">
      <c r="B384" s="32">
        <v>45582</v>
      </c>
      <c r="C384" s="33">
        <f t="shared" si="10"/>
        <v>5</v>
      </c>
      <c r="E384" s="27" t="str">
        <f t="shared" si="11"/>
        <v>sim</v>
      </c>
    </row>
    <row r="385" spans="2:5">
      <c r="B385" s="32">
        <v>45583</v>
      </c>
      <c r="C385" s="33">
        <f t="shared" si="10"/>
        <v>6</v>
      </c>
      <c r="E385" s="27" t="str">
        <f t="shared" si="11"/>
        <v>sim</v>
      </c>
    </row>
    <row r="386" spans="2:5">
      <c r="B386" s="32">
        <v>45584</v>
      </c>
      <c r="C386" s="33">
        <f t="shared" si="10"/>
        <v>7</v>
      </c>
      <c r="E386" s="27" t="str">
        <f t="shared" si="11"/>
        <v>não</v>
      </c>
    </row>
    <row r="387" spans="2:5">
      <c r="B387" s="32">
        <v>45585</v>
      </c>
      <c r="C387" s="33">
        <f t="shared" ref="C387:C450" si="12">WEEKDAY(B387)</f>
        <v>1</v>
      </c>
      <c r="E387" s="27" t="str">
        <f t="shared" ref="E387:E450" si="13">IF(D387&lt;&gt;"","não",IF(OR(C387=1,C387=7),"não","sim"))</f>
        <v>não</v>
      </c>
    </row>
    <row r="388" spans="2:5">
      <c r="B388" s="32">
        <v>45586</v>
      </c>
      <c r="C388" s="33">
        <f t="shared" si="12"/>
        <v>2</v>
      </c>
      <c r="E388" s="27" t="str">
        <f t="shared" si="13"/>
        <v>sim</v>
      </c>
    </row>
    <row r="389" spans="2:5">
      <c r="B389" s="32">
        <v>45587</v>
      </c>
      <c r="C389" s="33">
        <f t="shared" si="12"/>
        <v>3</v>
      </c>
      <c r="E389" s="27" t="str">
        <f t="shared" si="13"/>
        <v>sim</v>
      </c>
    </row>
    <row r="390" spans="2:5">
      <c r="B390" s="32">
        <v>45588</v>
      </c>
      <c r="C390" s="33">
        <f t="shared" si="12"/>
        <v>4</v>
      </c>
      <c r="E390" s="27" t="str">
        <f t="shared" si="13"/>
        <v>sim</v>
      </c>
    </row>
    <row r="391" spans="2:5">
      <c r="B391" s="32">
        <v>45589</v>
      </c>
      <c r="C391" s="33">
        <f t="shared" si="12"/>
        <v>5</v>
      </c>
      <c r="D391" s="27" t="s">
        <v>185</v>
      </c>
      <c r="E391" s="27" t="str">
        <f t="shared" si="13"/>
        <v>não</v>
      </c>
    </row>
    <row r="392" spans="2:5">
      <c r="B392" s="32">
        <v>45590</v>
      </c>
      <c r="C392" s="33">
        <f t="shared" si="12"/>
        <v>6</v>
      </c>
      <c r="E392" s="27" t="str">
        <f t="shared" si="13"/>
        <v>sim</v>
      </c>
    </row>
    <row r="393" spans="2:5">
      <c r="B393" s="32">
        <v>45591</v>
      </c>
      <c r="C393" s="33">
        <f t="shared" si="12"/>
        <v>7</v>
      </c>
      <c r="E393" s="27" t="str">
        <f t="shared" si="13"/>
        <v>não</v>
      </c>
    </row>
    <row r="394" spans="2:5">
      <c r="B394" s="32">
        <v>45592</v>
      </c>
      <c r="C394" s="33">
        <f t="shared" si="12"/>
        <v>1</v>
      </c>
      <c r="E394" s="27" t="str">
        <f t="shared" si="13"/>
        <v>não</v>
      </c>
    </row>
    <row r="395" spans="2:5">
      <c r="B395" s="32">
        <v>45593</v>
      </c>
      <c r="C395" s="33">
        <f t="shared" si="12"/>
        <v>2</v>
      </c>
      <c r="D395" s="27" t="s">
        <v>186</v>
      </c>
      <c r="E395" s="27" t="str">
        <f t="shared" si="13"/>
        <v>não</v>
      </c>
    </row>
    <row r="396" spans="2:5">
      <c r="B396" s="32">
        <v>45594</v>
      </c>
      <c r="C396" s="33">
        <f t="shared" si="12"/>
        <v>3</v>
      </c>
      <c r="E396" s="27" t="str">
        <f t="shared" si="13"/>
        <v>sim</v>
      </c>
    </row>
    <row r="397" spans="2:5">
      <c r="B397" s="32">
        <v>45595</v>
      </c>
      <c r="C397" s="33">
        <f t="shared" si="12"/>
        <v>4</v>
      </c>
      <c r="E397" s="27" t="str">
        <f t="shared" si="13"/>
        <v>sim</v>
      </c>
    </row>
    <row r="398" spans="2:5">
      <c r="B398" s="32">
        <v>45596</v>
      </c>
      <c r="C398" s="33">
        <f t="shared" si="12"/>
        <v>5</v>
      </c>
      <c r="E398" s="27" t="str">
        <f t="shared" si="13"/>
        <v>sim</v>
      </c>
    </row>
    <row r="399" spans="2:5">
      <c r="B399" s="32">
        <v>45597</v>
      </c>
      <c r="C399" s="33">
        <f t="shared" si="12"/>
        <v>6</v>
      </c>
      <c r="E399" s="27" t="str">
        <f t="shared" si="13"/>
        <v>sim</v>
      </c>
    </row>
    <row r="400" spans="2:5">
      <c r="B400" s="32">
        <v>45598</v>
      </c>
      <c r="C400" s="33">
        <f t="shared" si="12"/>
        <v>7</v>
      </c>
      <c r="D400" s="27" t="s">
        <v>278</v>
      </c>
      <c r="E400" s="27" t="str">
        <f t="shared" si="13"/>
        <v>não</v>
      </c>
    </row>
    <row r="401" spans="2:5">
      <c r="B401" s="32">
        <v>45599</v>
      </c>
      <c r="C401" s="33">
        <f t="shared" si="12"/>
        <v>1</v>
      </c>
      <c r="E401" s="27" t="str">
        <f t="shared" si="13"/>
        <v>não</v>
      </c>
    </row>
    <row r="402" spans="2:5">
      <c r="B402" s="32">
        <v>45600</v>
      </c>
      <c r="C402" s="33">
        <f t="shared" si="12"/>
        <v>2</v>
      </c>
      <c r="E402" s="27" t="str">
        <f t="shared" si="13"/>
        <v>sim</v>
      </c>
    </row>
    <row r="403" spans="2:5">
      <c r="B403" s="32">
        <v>45601</v>
      </c>
      <c r="C403" s="33">
        <f t="shared" si="12"/>
        <v>3</v>
      </c>
      <c r="E403" s="27" t="str">
        <f t="shared" si="13"/>
        <v>sim</v>
      </c>
    </row>
    <row r="404" spans="2:5">
      <c r="B404" s="32">
        <v>45602</v>
      </c>
      <c r="C404" s="33">
        <f t="shared" si="12"/>
        <v>4</v>
      </c>
      <c r="E404" s="27" t="str">
        <f t="shared" si="13"/>
        <v>sim</v>
      </c>
    </row>
    <row r="405" spans="2:5">
      <c r="B405" s="32">
        <v>45603</v>
      </c>
      <c r="C405" s="33">
        <f t="shared" si="12"/>
        <v>5</v>
      </c>
      <c r="E405" s="27" t="str">
        <f t="shared" si="13"/>
        <v>sim</v>
      </c>
    </row>
    <row r="406" spans="2:5">
      <c r="B406" s="32">
        <v>45604</v>
      </c>
      <c r="C406" s="33">
        <f t="shared" si="12"/>
        <v>6</v>
      </c>
      <c r="E406" s="27" t="str">
        <f t="shared" si="13"/>
        <v>sim</v>
      </c>
    </row>
    <row r="407" spans="2:5">
      <c r="B407" s="32">
        <v>45605</v>
      </c>
      <c r="C407" s="33">
        <f t="shared" si="12"/>
        <v>7</v>
      </c>
      <c r="E407" s="27" t="str">
        <f t="shared" si="13"/>
        <v>não</v>
      </c>
    </row>
    <row r="408" spans="2:5">
      <c r="B408" s="32">
        <v>45606</v>
      </c>
      <c r="C408" s="33">
        <f t="shared" si="12"/>
        <v>1</v>
      </c>
      <c r="E408" s="27" t="str">
        <f t="shared" si="13"/>
        <v>não</v>
      </c>
    </row>
    <row r="409" spans="2:5">
      <c r="B409" s="32">
        <v>45607</v>
      </c>
      <c r="C409" s="33">
        <f t="shared" si="12"/>
        <v>2</v>
      </c>
      <c r="E409" s="27" t="str">
        <f t="shared" si="13"/>
        <v>sim</v>
      </c>
    </row>
    <row r="410" spans="2:5">
      <c r="B410" s="32">
        <v>45608</v>
      </c>
      <c r="C410" s="33">
        <f t="shared" si="12"/>
        <v>3</v>
      </c>
      <c r="E410" s="27" t="str">
        <f t="shared" si="13"/>
        <v>sim</v>
      </c>
    </row>
    <row r="411" spans="2:5">
      <c r="B411" s="32">
        <v>45609</v>
      </c>
      <c r="C411" s="33">
        <f t="shared" si="12"/>
        <v>4</v>
      </c>
      <c r="E411" s="27" t="str">
        <f t="shared" si="13"/>
        <v>sim</v>
      </c>
    </row>
    <row r="412" spans="2:5">
      <c r="B412" s="32">
        <v>45610</v>
      </c>
      <c r="C412" s="33">
        <f t="shared" si="12"/>
        <v>5</v>
      </c>
      <c r="E412" s="27" t="str">
        <f t="shared" si="13"/>
        <v>sim</v>
      </c>
    </row>
    <row r="413" spans="2:5">
      <c r="B413" s="32">
        <v>45611</v>
      </c>
      <c r="C413" s="33">
        <f t="shared" si="12"/>
        <v>6</v>
      </c>
      <c r="D413" s="27" t="s">
        <v>283</v>
      </c>
      <c r="E413" s="27" t="str">
        <f t="shared" si="13"/>
        <v>não</v>
      </c>
    </row>
    <row r="414" spans="2:5">
      <c r="B414" s="32">
        <v>45612</v>
      </c>
      <c r="C414" s="33">
        <f t="shared" si="12"/>
        <v>7</v>
      </c>
      <c r="E414" s="27" t="str">
        <f t="shared" si="13"/>
        <v>não</v>
      </c>
    </row>
    <row r="415" spans="2:5">
      <c r="B415" s="32">
        <v>45613</v>
      </c>
      <c r="C415" s="33">
        <f t="shared" si="12"/>
        <v>1</v>
      </c>
      <c r="E415" s="27" t="str">
        <f t="shared" si="13"/>
        <v>não</v>
      </c>
    </row>
    <row r="416" spans="2:5">
      <c r="B416" s="32">
        <v>45614</v>
      </c>
      <c r="C416" s="33">
        <f t="shared" si="12"/>
        <v>2</v>
      </c>
      <c r="E416" s="27" t="str">
        <f t="shared" si="13"/>
        <v>sim</v>
      </c>
    </row>
    <row r="417" spans="2:5">
      <c r="B417" s="32">
        <v>45615</v>
      </c>
      <c r="C417" s="33">
        <f t="shared" si="12"/>
        <v>3</v>
      </c>
      <c r="E417" s="27" t="str">
        <f t="shared" si="13"/>
        <v>sim</v>
      </c>
    </row>
    <row r="418" spans="2:5">
      <c r="B418" s="32">
        <v>45616</v>
      </c>
      <c r="C418" s="33">
        <f t="shared" si="12"/>
        <v>4</v>
      </c>
      <c r="E418" s="27" t="str">
        <f t="shared" si="13"/>
        <v>sim</v>
      </c>
    </row>
    <row r="419" spans="2:5">
      <c r="B419" s="32">
        <v>45617</v>
      </c>
      <c r="C419" s="33">
        <f t="shared" si="12"/>
        <v>5</v>
      </c>
      <c r="E419" s="27" t="str">
        <f t="shared" si="13"/>
        <v>sim</v>
      </c>
    </row>
    <row r="420" spans="2:5">
      <c r="B420" s="32">
        <v>45618</v>
      </c>
      <c r="C420" s="33">
        <f t="shared" si="12"/>
        <v>6</v>
      </c>
      <c r="E420" s="27" t="str">
        <f t="shared" si="13"/>
        <v>sim</v>
      </c>
    </row>
    <row r="421" spans="2:5">
      <c r="B421" s="32">
        <v>45619</v>
      </c>
      <c r="C421" s="33">
        <f t="shared" si="12"/>
        <v>7</v>
      </c>
      <c r="E421" s="27" t="str">
        <f t="shared" si="13"/>
        <v>não</v>
      </c>
    </row>
    <row r="422" spans="2:5">
      <c r="B422" s="32">
        <v>45620</v>
      </c>
      <c r="C422" s="33">
        <f t="shared" si="12"/>
        <v>1</v>
      </c>
      <c r="E422" s="27" t="str">
        <f t="shared" si="13"/>
        <v>não</v>
      </c>
    </row>
    <row r="423" spans="2:5">
      <c r="B423" s="32">
        <v>45621</v>
      </c>
      <c r="C423" s="33">
        <f t="shared" si="12"/>
        <v>2</v>
      </c>
      <c r="E423" s="27" t="str">
        <f t="shared" si="13"/>
        <v>sim</v>
      </c>
    </row>
    <row r="424" spans="2:5">
      <c r="B424" s="32">
        <v>45622</v>
      </c>
      <c r="C424" s="33">
        <f t="shared" si="12"/>
        <v>3</v>
      </c>
      <c r="E424" s="27" t="str">
        <f t="shared" si="13"/>
        <v>sim</v>
      </c>
    </row>
    <row r="425" spans="2:5">
      <c r="B425" s="32">
        <v>45623</v>
      </c>
      <c r="C425" s="33">
        <f t="shared" si="12"/>
        <v>4</v>
      </c>
      <c r="E425" s="27" t="str">
        <f t="shared" si="13"/>
        <v>sim</v>
      </c>
    </row>
    <row r="426" spans="2:5">
      <c r="B426" s="32">
        <v>45624</v>
      </c>
      <c r="C426" s="33">
        <f t="shared" si="12"/>
        <v>5</v>
      </c>
      <c r="E426" s="27" t="str">
        <f t="shared" si="13"/>
        <v>sim</v>
      </c>
    </row>
    <row r="427" spans="2:5">
      <c r="B427" s="32">
        <v>45625</v>
      </c>
      <c r="C427" s="33">
        <f t="shared" si="12"/>
        <v>6</v>
      </c>
      <c r="E427" s="27" t="str">
        <f t="shared" si="13"/>
        <v>sim</v>
      </c>
    </row>
    <row r="428" spans="2:5">
      <c r="B428" s="32">
        <v>45626</v>
      </c>
      <c r="C428" s="33">
        <f t="shared" si="12"/>
        <v>7</v>
      </c>
      <c r="E428" s="27" t="str">
        <f t="shared" si="13"/>
        <v>não</v>
      </c>
    </row>
    <row r="429" spans="2:5">
      <c r="B429" s="32">
        <v>45627</v>
      </c>
      <c r="C429" s="33">
        <f t="shared" si="12"/>
        <v>1</v>
      </c>
      <c r="E429" s="27" t="str">
        <f t="shared" si="13"/>
        <v>não</v>
      </c>
    </row>
    <row r="430" spans="2:5">
      <c r="B430" s="32">
        <v>45628</v>
      </c>
      <c r="C430" s="33">
        <f t="shared" si="12"/>
        <v>2</v>
      </c>
      <c r="E430" s="27" t="str">
        <f t="shared" si="13"/>
        <v>sim</v>
      </c>
    </row>
    <row r="431" spans="2:5">
      <c r="B431" s="32">
        <v>45629</v>
      </c>
      <c r="C431" s="33">
        <f t="shared" si="12"/>
        <v>3</v>
      </c>
      <c r="E431" s="27" t="str">
        <f t="shared" si="13"/>
        <v>sim</v>
      </c>
    </row>
    <row r="432" spans="2:5">
      <c r="B432" s="32">
        <v>45630</v>
      </c>
      <c r="C432" s="33">
        <f t="shared" si="12"/>
        <v>4</v>
      </c>
      <c r="E432" s="27" t="str">
        <f t="shared" si="13"/>
        <v>sim</v>
      </c>
    </row>
    <row r="433" spans="2:5">
      <c r="B433" s="32">
        <v>45631</v>
      </c>
      <c r="C433" s="33">
        <f t="shared" si="12"/>
        <v>5</v>
      </c>
      <c r="E433" s="27" t="str">
        <f t="shared" si="13"/>
        <v>sim</v>
      </c>
    </row>
    <row r="434" spans="2:5">
      <c r="B434" s="32">
        <v>45632</v>
      </c>
      <c r="C434" s="33">
        <f t="shared" si="12"/>
        <v>6</v>
      </c>
      <c r="E434" s="27" t="str">
        <f t="shared" si="13"/>
        <v>sim</v>
      </c>
    </row>
    <row r="435" spans="2:5">
      <c r="B435" s="32">
        <v>45633</v>
      </c>
      <c r="C435" s="33">
        <f t="shared" si="12"/>
        <v>7</v>
      </c>
      <c r="E435" s="27" t="str">
        <f t="shared" si="13"/>
        <v>não</v>
      </c>
    </row>
    <row r="436" spans="2:5">
      <c r="B436" s="32">
        <v>45634</v>
      </c>
      <c r="C436" s="33">
        <f t="shared" si="12"/>
        <v>1</v>
      </c>
      <c r="E436" s="27" t="str">
        <f t="shared" si="13"/>
        <v>não</v>
      </c>
    </row>
    <row r="437" spans="2:5">
      <c r="B437" s="32">
        <v>45635</v>
      </c>
      <c r="C437" s="33">
        <f t="shared" si="12"/>
        <v>2</v>
      </c>
      <c r="E437" s="27" t="str">
        <f t="shared" si="13"/>
        <v>sim</v>
      </c>
    </row>
    <row r="438" spans="2:5">
      <c r="B438" s="32">
        <v>45636</v>
      </c>
      <c r="C438" s="33">
        <f t="shared" si="12"/>
        <v>3</v>
      </c>
      <c r="E438" s="27" t="str">
        <f t="shared" si="13"/>
        <v>sim</v>
      </c>
    </row>
    <row r="439" spans="2:5">
      <c r="B439" s="32">
        <v>45637</v>
      </c>
      <c r="C439" s="33">
        <f t="shared" si="12"/>
        <v>4</v>
      </c>
      <c r="E439" s="27" t="str">
        <f t="shared" si="13"/>
        <v>sim</v>
      </c>
    </row>
    <row r="440" spans="2:5">
      <c r="B440" s="32">
        <v>45638</v>
      </c>
      <c r="C440" s="33">
        <f t="shared" si="12"/>
        <v>5</v>
      </c>
      <c r="E440" s="27" t="str">
        <f t="shared" si="13"/>
        <v>sim</v>
      </c>
    </row>
    <row r="441" spans="2:5">
      <c r="B441" s="32">
        <v>45639</v>
      </c>
      <c r="C441" s="33">
        <f t="shared" si="12"/>
        <v>6</v>
      </c>
      <c r="E441" s="27" t="str">
        <f t="shared" si="13"/>
        <v>sim</v>
      </c>
    </row>
    <row r="442" spans="2:5">
      <c r="B442" s="32">
        <v>45640</v>
      </c>
      <c r="C442" s="33">
        <f t="shared" si="12"/>
        <v>7</v>
      </c>
      <c r="E442" s="27" t="str">
        <f t="shared" si="13"/>
        <v>não</v>
      </c>
    </row>
    <row r="443" spans="2:5">
      <c r="B443" s="32">
        <v>45641</v>
      </c>
      <c r="C443" s="33">
        <f t="shared" si="12"/>
        <v>1</v>
      </c>
      <c r="E443" s="27" t="str">
        <f t="shared" si="13"/>
        <v>não</v>
      </c>
    </row>
    <row r="444" spans="2:5">
      <c r="B444" s="32">
        <v>45642</v>
      </c>
      <c r="C444" s="33">
        <f t="shared" si="12"/>
        <v>2</v>
      </c>
      <c r="E444" s="27" t="str">
        <f t="shared" si="13"/>
        <v>sim</v>
      </c>
    </row>
    <row r="445" spans="2:5">
      <c r="B445" s="32">
        <v>45643</v>
      </c>
      <c r="C445" s="33">
        <f t="shared" si="12"/>
        <v>3</v>
      </c>
      <c r="E445" s="27" t="str">
        <f t="shared" si="13"/>
        <v>sim</v>
      </c>
    </row>
    <row r="446" spans="2:5">
      <c r="B446" s="32">
        <v>45644</v>
      </c>
      <c r="C446" s="33">
        <f t="shared" si="12"/>
        <v>4</v>
      </c>
      <c r="E446" s="27" t="str">
        <f t="shared" si="13"/>
        <v>sim</v>
      </c>
    </row>
    <row r="447" spans="2:5">
      <c r="B447" s="32">
        <v>45645</v>
      </c>
      <c r="C447" s="33">
        <f t="shared" si="12"/>
        <v>5</v>
      </c>
      <c r="E447" s="27" t="str">
        <f t="shared" si="13"/>
        <v>sim</v>
      </c>
    </row>
    <row r="448" spans="2:5">
      <c r="B448" s="32">
        <v>45646</v>
      </c>
      <c r="C448" s="33">
        <f t="shared" si="12"/>
        <v>6</v>
      </c>
      <c r="E448" s="27" t="str">
        <f t="shared" si="13"/>
        <v>sim</v>
      </c>
    </row>
    <row r="449" spans="2:5">
      <c r="B449" s="32">
        <v>45647</v>
      </c>
      <c r="C449" s="33">
        <f t="shared" si="12"/>
        <v>7</v>
      </c>
      <c r="E449" s="27" t="str">
        <f t="shared" si="13"/>
        <v>não</v>
      </c>
    </row>
    <row r="450" spans="2:5">
      <c r="B450" s="32">
        <v>45648</v>
      </c>
      <c r="C450" s="33">
        <f t="shared" si="12"/>
        <v>1</v>
      </c>
      <c r="E450" s="27" t="str">
        <f t="shared" si="13"/>
        <v>não</v>
      </c>
    </row>
    <row r="451" spans="2:5">
      <c r="B451" s="32">
        <v>45649</v>
      </c>
      <c r="C451" s="33">
        <f t="shared" ref="C451:C514" si="14">WEEKDAY(B451)</f>
        <v>2</v>
      </c>
      <c r="E451" s="27" t="str">
        <f t="shared" ref="E451:E514" si="15">IF(D451&lt;&gt;"","não",IF(OR(C451=1,C451=7),"não","sim"))</f>
        <v>sim</v>
      </c>
    </row>
    <row r="452" spans="2:5">
      <c r="B452" s="32">
        <v>45650</v>
      </c>
      <c r="C452" s="33">
        <f t="shared" si="14"/>
        <v>3</v>
      </c>
      <c r="E452" s="27" t="str">
        <f t="shared" si="15"/>
        <v>sim</v>
      </c>
    </row>
    <row r="453" spans="2:5">
      <c r="B453" s="32">
        <v>45651</v>
      </c>
      <c r="C453" s="33">
        <f t="shared" si="14"/>
        <v>4</v>
      </c>
      <c r="D453" s="27" t="s">
        <v>187</v>
      </c>
      <c r="E453" s="27" t="str">
        <f t="shared" si="15"/>
        <v>não</v>
      </c>
    </row>
    <row r="454" spans="2:5">
      <c r="B454" s="32">
        <v>45652</v>
      </c>
      <c r="C454" s="33">
        <f t="shared" si="14"/>
        <v>5</v>
      </c>
      <c r="E454" s="27" t="str">
        <f t="shared" si="15"/>
        <v>sim</v>
      </c>
    </row>
    <row r="455" spans="2:5">
      <c r="B455" s="32">
        <v>45653</v>
      </c>
      <c r="C455" s="33">
        <f t="shared" si="14"/>
        <v>6</v>
      </c>
      <c r="E455" s="27" t="str">
        <f t="shared" si="15"/>
        <v>sim</v>
      </c>
    </row>
    <row r="456" spans="2:5">
      <c r="B456" s="32">
        <v>45654</v>
      </c>
      <c r="C456" s="33">
        <f t="shared" si="14"/>
        <v>7</v>
      </c>
      <c r="E456" s="27" t="str">
        <f t="shared" si="15"/>
        <v>não</v>
      </c>
    </row>
    <row r="457" spans="2:5">
      <c r="B457" s="32">
        <v>45655</v>
      </c>
      <c r="C457" s="33">
        <f t="shared" si="14"/>
        <v>1</v>
      </c>
      <c r="E457" s="27" t="str">
        <f t="shared" si="15"/>
        <v>não</v>
      </c>
    </row>
    <row r="458" spans="2:5">
      <c r="B458" s="32">
        <v>45656</v>
      </c>
      <c r="C458" s="33">
        <f t="shared" si="14"/>
        <v>2</v>
      </c>
      <c r="E458" s="27" t="str">
        <f t="shared" si="15"/>
        <v>sim</v>
      </c>
    </row>
    <row r="459" spans="2:5">
      <c r="B459" s="32">
        <v>45657</v>
      </c>
      <c r="C459" s="33">
        <f t="shared" si="14"/>
        <v>3</v>
      </c>
      <c r="E459" s="27" t="str">
        <f t="shared" si="15"/>
        <v>sim</v>
      </c>
    </row>
    <row r="460" spans="2:5">
      <c r="B460" s="32">
        <v>45658</v>
      </c>
      <c r="C460" s="33">
        <f t="shared" si="14"/>
        <v>4</v>
      </c>
      <c r="D460" s="27" t="s">
        <v>180</v>
      </c>
      <c r="E460" s="27" t="str">
        <f t="shared" si="15"/>
        <v>não</v>
      </c>
    </row>
    <row r="461" spans="2:5">
      <c r="B461" s="32">
        <v>45659</v>
      </c>
      <c r="C461" s="33">
        <f t="shared" si="14"/>
        <v>5</v>
      </c>
      <c r="E461" s="27" t="str">
        <f t="shared" si="15"/>
        <v>sim</v>
      </c>
    </row>
    <row r="462" spans="2:5">
      <c r="B462" s="32">
        <v>45660</v>
      </c>
      <c r="C462" s="33">
        <f t="shared" si="14"/>
        <v>6</v>
      </c>
      <c r="E462" s="27" t="str">
        <f t="shared" si="15"/>
        <v>sim</v>
      </c>
    </row>
    <row r="463" spans="2:5">
      <c r="B463" s="32">
        <v>45661</v>
      </c>
      <c r="C463" s="33">
        <f t="shared" si="14"/>
        <v>7</v>
      </c>
      <c r="E463" s="27" t="str">
        <f t="shared" si="15"/>
        <v>não</v>
      </c>
    </row>
    <row r="464" spans="2:5">
      <c r="B464" s="32">
        <v>45662</v>
      </c>
      <c r="C464" s="33">
        <f t="shared" si="14"/>
        <v>1</v>
      </c>
      <c r="E464" s="27" t="str">
        <f t="shared" si="15"/>
        <v>não</v>
      </c>
    </row>
    <row r="465" spans="2:5">
      <c r="B465" s="32">
        <v>45663</v>
      </c>
      <c r="C465" s="33">
        <f t="shared" si="14"/>
        <v>2</v>
      </c>
      <c r="E465" s="27" t="str">
        <f t="shared" si="15"/>
        <v>sim</v>
      </c>
    </row>
    <row r="466" spans="2:5">
      <c r="B466" s="32">
        <v>45664</v>
      </c>
      <c r="C466" s="33">
        <f t="shared" si="14"/>
        <v>3</v>
      </c>
      <c r="E466" s="27" t="str">
        <f t="shared" si="15"/>
        <v>sim</v>
      </c>
    </row>
    <row r="467" spans="2:5">
      <c r="B467" s="32">
        <v>45665</v>
      </c>
      <c r="C467" s="33">
        <f t="shared" si="14"/>
        <v>4</v>
      </c>
      <c r="E467" s="27" t="str">
        <f t="shared" si="15"/>
        <v>sim</v>
      </c>
    </row>
    <row r="468" spans="2:5">
      <c r="B468" s="32">
        <v>45666</v>
      </c>
      <c r="C468" s="33">
        <f t="shared" si="14"/>
        <v>5</v>
      </c>
      <c r="E468" s="27" t="str">
        <f t="shared" si="15"/>
        <v>sim</v>
      </c>
    </row>
    <row r="469" spans="2:5">
      <c r="B469" s="32">
        <v>45667</v>
      </c>
      <c r="C469" s="33">
        <f t="shared" si="14"/>
        <v>6</v>
      </c>
      <c r="E469" s="27" t="str">
        <f t="shared" si="15"/>
        <v>sim</v>
      </c>
    </row>
    <row r="470" spans="2:5">
      <c r="B470" s="32">
        <v>45668</v>
      </c>
      <c r="C470" s="33">
        <f t="shared" si="14"/>
        <v>7</v>
      </c>
      <c r="E470" s="27" t="str">
        <f t="shared" si="15"/>
        <v>não</v>
      </c>
    </row>
    <row r="471" spans="2:5">
      <c r="B471" s="32">
        <v>45669</v>
      </c>
      <c r="C471" s="33">
        <f t="shared" si="14"/>
        <v>1</v>
      </c>
      <c r="E471" s="27" t="str">
        <f t="shared" si="15"/>
        <v>não</v>
      </c>
    </row>
    <row r="472" spans="2:5">
      <c r="B472" s="32">
        <v>45670</v>
      </c>
      <c r="C472" s="33">
        <f t="shared" si="14"/>
        <v>2</v>
      </c>
      <c r="E472" s="27" t="str">
        <f t="shared" si="15"/>
        <v>sim</v>
      </c>
    </row>
    <row r="473" spans="2:5">
      <c r="B473" s="32">
        <v>45671</v>
      </c>
      <c r="C473" s="33">
        <f t="shared" si="14"/>
        <v>3</v>
      </c>
      <c r="E473" s="27" t="str">
        <f t="shared" si="15"/>
        <v>sim</v>
      </c>
    </row>
    <row r="474" spans="2:5">
      <c r="B474" s="32">
        <v>45672</v>
      </c>
      <c r="C474" s="33">
        <f t="shared" si="14"/>
        <v>4</v>
      </c>
      <c r="E474" s="27" t="str">
        <f t="shared" si="15"/>
        <v>sim</v>
      </c>
    </row>
    <row r="475" spans="2:5">
      <c r="B475" s="32">
        <v>45673</v>
      </c>
      <c r="C475" s="33">
        <f t="shared" si="14"/>
        <v>5</v>
      </c>
      <c r="E475" s="27" t="str">
        <f t="shared" si="15"/>
        <v>sim</v>
      </c>
    </row>
    <row r="476" spans="2:5">
      <c r="B476" s="32">
        <v>45674</v>
      </c>
      <c r="C476" s="33">
        <f t="shared" si="14"/>
        <v>6</v>
      </c>
      <c r="E476" s="27" t="str">
        <f t="shared" si="15"/>
        <v>sim</v>
      </c>
    </row>
    <row r="477" spans="2:5">
      <c r="B477" s="32">
        <v>45675</v>
      </c>
      <c r="C477" s="33">
        <f t="shared" si="14"/>
        <v>7</v>
      </c>
      <c r="E477" s="27" t="str">
        <f t="shared" si="15"/>
        <v>não</v>
      </c>
    </row>
    <row r="478" spans="2:5">
      <c r="B478" s="32">
        <v>45676</v>
      </c>
      <c r="C478" s="33">
        <f t="shared" si="14"/>
        <v>1</v>
      </c>
      <c r="E478" s="27" t="str">
        <f t="shared" si="15"/>
        <v>não</v>
      </c>
    </row>
    <row r="479" spans="2:5">
      <c r="B479" s="32">
        <v>45677</v>
      </c>
      <c r="C479" s="33">
        <f t="shared" si="14"/>
        <v>2</v>
      </c>
      <c r="E479" s="27" t="str">
        <f t="shared" si="15"/>
        <v>sim</v>
      </c>
    </row>
    <row r="480" spans="2:5">
      <c r="B480" s="32">
        <v>45678</v>
      </c>
      <c r="C480" s="33">
        <f t="shared" si="14"/>
        <v>3</v>
      </c>
      <c r="E480" s="27" t="str">
        <f t="shared" si="15"/>
        <v>sim</v>
      </c>
    </row>
    <row r="481" spans="2:5">
      <c r="B481" s="32">
        <v>45679</v>
      </c>
      <c r="C481" s="33">
        <f t="shared" si="14"/>
        <v>4</v>
      </c>
      <c r="E481" s="27" t="str">
        <f t="shared" si="15"/>
        <v>sim</v>
      </c>
    </row>
    <row r="482" spans="2:5">
      <c r="B482" s="32">
        <v>45680</v>
      </c>
      <c r="C482" s="33">
        <f t="shared" si="14"/>
        <v>5</v>
      </c>
      <c r="E482" s="27" t="str">
        <f t="shared" si="15"/>
        <v>sim</v>
      </c>
    </row>
    <row r="483" spans="2:5">
      <c r="B483" s="32">
        <v>45681</v>
      </c>
      <c r="C483" s="33">
        <f t="shared" si="14"/>
        <v>6</v>
      </c>
      <c r="E483" s="27" t="str">
        <f t="shared" si="15"/>
        <v>sim</v>
      </c>
    </row>
    <row r="484" spans="2:5">
      <c r="B484" s="32">
        <v>45682</v>
      </c>
      <c r="C484" s="33">
        <f t="shared" si="14"/>
        <v>7</v>
      </c>
      <c r="E484" s="27" t="str">
        <f t="shared" si="15"/>
        <v>não</v>
      </c>
    </row>
    <row r="485" spans="2:5">
      <c r="B485" s="32">
        <v>45683</v>
      </c>
      <c r="C485" s="33">
        <f t="shared" si="14"/>
        <v>1</v>
      </c>
      <c r="E485" s="27" t="str">
        <f t="shared" si="15"/>
        <v>não</v>
      </c>
    </row>
    <row r="486" spans="2:5">
      <c r="B486" s="32">
        <v>45684</v>
      </c>
      <c r="C486" s="33">
        <f t="shared" si="14"/>
        <v>2</v>
      </c>
      <c r="E486" s="27" t="str">
        <f t="shared" si="15"/>
        <v>sim</v>
      </c>
    </row>
    <row r="487" spans="2:5">
      <c r="B487" s="32">
        <v>45685</v>
      </c>
      <c r="C487" s="33">
        <f t="shared" si="14"/>
        <v>3</v>
      </c>
      <c r="E487" s="27" t="str">
        <f t="shared" si="15"/>
        <v>sim</v>
      </c>
    </row>
    <row r="488" spans="2:5">
      <c r="B488" s="32">
        <v>45686</v>
      </c>
      <c r="C488" s="33">
        <f t="shared" si="14"/>
        <v>4</v>
      </c>
      <c r="E488" s="27" t="str">
        <f t="shared" si="15"/>
        <v>sim</v>
      </c>
    </row>
    <row r="489" spans="2:5">
      <c r="B489" s="32">
        <v>45687</v>
      </c>
      <c r="C489" s="33">
        <f t="shared" si="14"/>
        <v>5</v>
      </c>
      <c r="E489" s="27" t="str">
        <f t="shared" si="15"/>
        <v>sim</v>
      </c>
    </row>
    <row r="490" spans="2:5">
      <c r="B490" s="32">
        <v>45688</v>
      </c>
      <c r="C490" s="33">
        <f t="shared" si="14"/>
        <v>6</v>
      </c>
      <c r="E490" s="27" t="str">
        <f t="shared" si="15"/>
        <v>sim</v>
      </c>
    </row>
    <row r="491" spans="2:5">
      <c r="B491" s="32">
        <v>45689</v>
      </c>
      <c r="C491" s="33">
        <f t="shared" si="14"/>
        <v>7</v>
      </c>
      <c r="E491" s="27" t="str">
        <f t="shared" si="15"/>
        <v>não</v>
      </c>
    </row>
    <row r="492" spans="2:5">
      <c r="B492" s="32">
        <v>45690</v>
      </c>
      <c r="C492" s="33">
        <f t="shared" si="14"/>
        <v>1</v>
      </c>
      <c r="E492" s="27" t="str">
        <f t="shared" si="15"/>
        <v>não</v>
      </c>
    </row>
    <row r="493" spans="2:5">
      <c r="B493" s="32">
        <v>45691</v>
      </c>
      <c r="C493" s="33">
        <f t="shared" si="14"/>
        <v>2</v>
      </c>
      <c r="E493" s="27" t="str">
        <f t="shared" si="15"/>
        <v>sim</v>
      </c>
    </row>
    <row r="494" spans="2:5">
      <c r="B494" s="32">
        <v>45692</v>
      </c>
      <c r="C494" s="33">
        <f t="shared" si="14"/>
        <v>3</v>
      </c>
      <c r="E494" s="27" t="str">
        <f t="shared" si="15"/>
        <v>sim</v>
      </c>
    </row>
    <row r="495" spans="2:5">
      <c r="B495" s="32">
        <v>45693</v>
      </c>
      <c r="C495" s="33">
        <f t="shared" si="14"/>
        <v>4</v>
      </c>
      <c r="E495" s="27" t="str">
        <f t="shared" si="15"/>
        <v>sim</v>
      </c>
    </row>
    <row r="496" spans="2:5">
      <c r="B496" s="32">
        <v>45694</v>
      </c>
      <c r="C496" s="33">
        <f t="shared" si="14"/>
        <v>5</v>
      </c>
      <c r="E496" s="27" t="str">
        <f t="shared" si="15"/>
        <v>sim</v>
      </c>
    </row>
    <row r="497" spans="2:5">
      <c r="B497" s="32">
        <v>45695</v>
      </c>
      <c r="C497" s="33">
        <f t="shared" si="14"/>
        <v>6</v>
      </c>
      <c r="E497" s="27" t="str">
        <f t="shared" si="15"/>
        <v>sim</v>
      </c>
    </row>
    <row r="498" spans="2:5">
      <c r="B498" s="32">
        <v>45696</v>
      </c>
      <c r="C498" s="33">
        <f t="shared" si="14"/>
        <v>7</v>
      </c>
      <c r="E498" s="27" t="str">
        <f t="shared" si="15"/>
        <v>não</v>
      </c>
    </row>
    <row r="499" spans="2:5">
      <c r="B499" s="32">
        <v>45697</v>
      </c>
      <c r="C499" s="33">
        <f t="shared" si="14"/>
        <v>1</v>
      </c>
      <c r="E499" s="27" t="str">
        <f t="shared" si="15"/>
        <v>não</v>
      </c>
    </row>
    <row r="500" spans="2:5">
      <c r="B500" s="32">
        <v>45698</v>
      </c>
      <c r="C500" s="33">
        <f t="shared" si="14"/>
        <v>2</v>
      </c>
      <c r="E500" s="27" t="str">
        <f t="shared" si="15"/>
        <v>sim</v>
      </c>
    </row>
    <row r="501" spans="2:5">
      <c r="B501" s="32">
        <v>45699</v>
      </c>
      <c r="C501" s="33">
        <f t="shared" si="14"/>
        <v>3</v>
      </c>
      <c r="E501" s="27" t="str">
        <f t="shared" si="15"/>
        <v>sim</v>
      </c>
    </row>
    <row r="502" spans="2:5">
      <c r="B502" s="32">
        <v>45700</v>
      </c>
      <c r="C502" s="33">
        <f t="shared" si="14"/>
        <v>4</v>
      </c>
      <c r="E502" s="27" t="str">
        <f t="shared" si="15"/>
        <v>sim</v>
      </c>
    </row>
    <row r="503" spans="2:5">
      <c r="B503" s="32">
        <v>45701</v>
      </c>
      <c r="C503" s="33">
        <f t="shared" si="14"/>
        <v>5</v>
      </c>
      <c r="E503" s="27" t="str">
        <f t="shared" si="15"/>
        <v>sim</v>
      </c>
    </row>
    <row r="504" spans="2:5">
      <c r="B504" s="32">
        <v>45702</v>
      </c>
      <c r="C504" s="33">
        <f t="shared" si="14"/>
        <v>6</v>
      </c>
      <c r="E504" s="27" t="str">
        <f t="shared" si="15"/>
        <v>sim</v>
      </c>
    </row>
    <row r="505" spans="2:5">
      <c r="B505" s="32">
        <v>45703</v>
      </c>
      <c r="C505" s="33">
        <f t="shared" si="14"/>
        <v>7</v>
      </c>
      <c r="E505" s="27" t="str">
        <f t="shared" si="15"/>
        <v>não</v>
      </c>
    </row>
    <row r="506" spans="2:5">
      <c r="B506" s="32">
        <v>45704</v>
      </c>
      <c r="C506" s="33">
        <f t="shared" si="14"/>
        <v>1</v>
      </c>
      <c r="E506" s="27" t="str">
        <f t="shared" si="15"/>
        <v>não</v>
      </c>
    </row>
    <row r="507" spans="2:5">
      <c r="B507" s="32">
        <v>45705</v>
      </c>
      <c r="C507" s="33">
        <f t="shared" si="14"/>
        <v>2</v>
      </c>
      <c r="E507" s="27" t="str">
        <f t="shared" si="15"/>
        <v>sim</v>
      </c>
    </row>
    <row r="508" spans="2:5">
      <c r="B508" s="32">
        <v>45706</v>
      </c>
      <c r="C508" s="33">
        <f t="shared" si="14"/>
        <v>3</v>
      </c>
      <c r="E508" s="27" t="str">
        <f t="shared" si="15"/>
        <v>sim</v>
      </c>
    </row>
    <row r="509" spans="2:5">
      <c r="B509" s="32">
        <v>45707</v>
      </c>
      <c r="C509" s="33">
        <f t="shared" si="14"/>
        <v>4</v>
      </c>
      <c r="E509" s="27" t="str">
        <f t="shared" si="15"/>
        <v>sim</v>
      </c>
    </row>
    <row r="510" spans="2:5">
      <c r="B510" s="32">
        <v>45708</v>
      </c>
      <c r="C510" s="33">
        <f t="shared" si="14"/>
        <v>5</v>
      </c>
      <c r="E510" s="27" t="str">
        <f t="shared" si="15"/>
        <v>sim</v>
      </c>
    </row>
    <row r="511" spans="2:5">
      <c r="B511" s="32">
        <v>45709</v>
      </c>
      <c r="C511" s="33">
        <f t="shared" si="14"/>
        <v>6</v>
      </c>
      <c r="E511" s="27" t="str">
        <f t="shared" si="15"/>
        <v>sim</v>
      </c>
    </row>
    <row r="512" spans="2:5">
      <c r="B512" s="32">
        <v>45710</v>
      </c>
      <c r="C512" s="33">
        <f t="shared" si="14"/>
        <v>7</v>
      </c>
      <c r="E512" s="27" t="str">
        <f t="shared" si="15"/>
        <v>não</v>
      </c>
    </row>
    <row r="513" spans="2:5">
      <c r="B513" s="32">
        <v>45711</v>
      </c>
      <c r="C513" s="33">
        <f t="shared" si="14"/>
        <v>1</v>
      </c>
      <c r="E513" s="27" t="str">
        <f t="shared" si="15"/>
        <v>não</v>
      </c>
    </row>
    <row r="514" spans="2:5">
      <c r="B514" s="32">
        <v>45712</v>
      </c>
      <c r="C514" s="33">
        <f t="shared" si="14"/>
        <v>2</v>
      </c>
      <c r="E514" s="27" t="str">
        <f t="shared" si="15"/>
        <v>sim</v>
      </c>
    </row>
    <row r="515" spans="2:5">
      <c r="B515" s="32">
        <v>45713</v>
      </c>
      <c r="C515" s="33">
        <f t="shared" ref="C515:C578" si="16">WEEKDAY(B515)</f>
        <v>3</v>
      </c>
      <c r="E515" s="27" t="str">
        <f t="shared" ref="E515:E578" si="17">IF(D515&lt;&gt;"","não",IF(OR(C515=1,C515=7),"não","sim"))</f>
        <v>sim</v>
      </c>
    </row>
    <row r="516" spans="2:5">
      <c r="B516" s="32">
        <v>45714</v>
      </c>
      <c r="C516" s="33">
        <f t="shared" si="16"/>
        <v>4</v>
      </c>
      <c r="E516" s="27" t="str">
        <f t="shared" si="17"/>
        <v>sim</v>
      </c>
    </row>
    <row r="517" spans="2:5">
      <c r="B517" s="32">
        <v>45715</v>
      </c>
      <c r="C517" s="33">
        <f t="shared" si="16"/>
        <v>5</v>
      </c>
      <c r="E517" s="27" t="str">
        <f t="shared" si="17"/>
        <v>sim</v>
      </c>
    </row>
    <row r="518" spans="2:5">
      <c r="B518" s="32">
        <v>45716</v>
      </c>
      <c r="C518" s="33">
        <f t="shared" si="16"/>
        <v>6</v>
      </c>
      <c r="E518" s="27" t="str">
        <f t="shared" si="17"/>
        <v>sim</v>
      </c>
    </row>
    <row r="519" spans="2:5">
      <c r="B519" s="32">
        <v>45717</v>
      </c>
      <c r="C519" s="33">
        <f t="shared" si="16"/>
        <v>7</v>
      </c>
      <c r="E519" s="27" t="str">
        <f t="shared" si="17"/>
        <v>não</v>
      </c>
    </row>
    <row r="520" spans="2:5">
      <c r="B520" s="32">
        <v>45718</v>
      </c>
      <c r="C520" s="33">
        <f t="shared" si="16"/>
        <v>1</v>
      </c>
      <c r="E520" s="27" t="str">
        <f t="shared" si="17"/>
        <v>não</v>
      </c>
    </row>
    <row r="521" spans="2:5">
      <c r="B521" s="32">
        <v>45719</v>
      </c>
      <c r="C521" s="33">
        <f t="shared" si="16"/>
        <v>2</v>
      </c>
      <c r="D521" s="27" t="s">
        <v>181</v>
      </c>
      <c r="E521" s="27" t="str">
        <f t="shared" si="17"/>
        <v>não</v>
      </c>
    </row>
    <row r="522" spans="2:5">
      <c r="B522" s="32">
        <v>45720</v>
      </c>
      <c r="C522" s="33">
        <f t="shared" si="16"/>
        <v>3</v>
      </c>
      <c r="D522" s="27" t="s">
        <v>181</v>
      </c>
      <c r="E522" s="27" t="str">
        <f t="shared" si="17"/>
        <v>não</v>
      </c>
    </row>
    <row r="523" spans="2:5">
      <c r="B523" s="32">
        <v>45721</v>
      </c>
      <c r="C523" s="33">
        <f t="shared" si="16"/>
        <v>4</v>
      </c>
      <c r="E523" s="27" t="str">
        <f t="shared" si="17"/>
        <v>sim</v>
      </c>
    </row>
    <row r="524" spans="2:5">
      <c r="B524" s="32">
        <v>45722</v>
      </c>
      <c r="C524" s="33">
        <f t="shared" si="16"/>
        <v>5</v>
      </c>
      <c r="E524" s="27" t="str">
        <f t="shared" si="17"/>
        <v>sim</v>
      </c>
    </row>
    <row r="525" spans="2:5">
      <c r="B525" s="32">
        <v>45723</v>
      </c>
      <c r="C525" s="33">
        <f t="shared" si="16"/>
        <v>6</v>
      </c>
      <c r="E525" s="27" t="str">
        <f t="shared" si="17"/>
        <v>sim</v>
      </c>
    </row>
    <row r="526" spans="2:5">
      <c r="B526" s="32">
        <v>45724</v>
      </c>
      <c r="C526" s="33">
        <f t="shared" si="16"/>
        <v>7</v>
      </c>
      <c r="E526" s="27" t="str">
        <f t="shared" si="17"/>
        <v>não</v>
      </c>
    </row>
    <row r="527" spans="2:5">
      <c r="B527" s="32">
        <v>45725</v>
      </c>
      <c r="C527" s="33">
        <f t="shared" si="16"/>
        <v>1</v>
      </c>
      <c r="E527" s="27" t="str">
        <f t="shared" si="17"/>
        <v>não</v>
      </c>
    </row>
    <row r="528" spans="2:5">
      <c r="B528" s="32">
        <v>45726</v>
      </c>
      <c r="C528" s="33">
        <f t="shared" si="16"/>
        <v>2</v>
      </c>
      <c r="E528" s="27" t="str">
        <f t="shared" si="17"/>
        <v>sim</v>
      </c>
    </row>
    <row r="529" spans="2:5">
      <c r="B529" s="32">
        <v>45727</v>
      </c>
      <c r="C529" s="33">
        <f t="shared" si="16"/>
        <v>3</v>
      </c>
      <c r="E529" s="27" t="str">
        <f t="shared" si="17"/>
        <v>sim</v>
      </c>
    </row>
    <row r="530" spans="2:5">
      <c r="B530" s="32">
        <v>45728</v>
      </c>
      <c r="C530" s="33">
        <f t="shared" si="16"/>
        <v>4</v>
      </c>
      <c r="E530" s="27" t="str">
        <f t="shared" si="17"/>
        <v>sim</v>
      </c>
    </row>
    <row r="531" spans="2:5">
      <c r="B531" s="32">
        <v>45729</v>
      </c>
      <c r="C531" s="33">
        <f t="shared" si="16"/>
        <v>5</v>
      </c>
      <c r="E531" s="27" t="str">
        <f t="shared" si="17"/>
        <v>sim</v>
      </c>
    </row>
    <row r="532" spans="2:5">
      <c r="B532" s="32">
        <v>45730</v>
      </c>
      <c r="C532" s="33">
        <f t="shared" si="16"/>
        <v>6</v>
      </c>
      <c r="E532" s="27" t="str">
        <f t="shared" si="17"/>
        <v>sim</v>
      </c>
    </row>
    <row r="533" spans="2:5">
      <c r="B533" s="32">
        <v>45731</v>
      </c>
      <c r="C533" s="33">
        <f t="shared" si="16"/>
        <v>7</v>
      </c>
      <c r="E533" s="27" t="str">
        <f t="shared" si="17"/>
        <v>não</v>
      </c>
    </row>
    <row r="534" spans="2:5">
      <c r="B534" s="32">
        <v>45732</v>
      </c>
      <c r="C534" s="33">
        <f t="shared" si="16"/>
        <v>1</v>
      </c>
      <c r="E534" s="27" t="str">
        <f t="shared" si="17"/>
        <v>não</v>
      </c>
    </row>
    <row r="535" spans="2:5">
      <c r="B535" s="32">
        <v>45733</v>
      </c>
      <c r="C535" s="33">
        <f t="shared" si="16"/>
        <v>2</v>
      </c>
      <c r="E535" s="27" t="str">
        <f t="shared" si="17"/>
        <v>sim</v>
      </c>
    </row>
    <row r="536" spans="2:5">
      <c r="B536" s="32">
        <v>45734</v>
      </c>
      <c r="C536" s="33">
        <f t="shared" si="16"/>
        <v>3</v>
      </c>
      <c r="E536" s="27" t="str">
        <f t="shared" si="17"/>
        <v>sim</v>
      </c>
    </row>
    <row r="537" spans="2:5">
      <c r="B537" s="32">
        <v>45735</v>
      </c>
      <c r="C537" s="33">
        <f t="shared" si="16"/>
        <v>4</v>
      </c>
      <c r="E537" s="27" t="str">
        <f t="shared" si="17"/>
        <v>sim</v>
      </c>
    </row>
    <row r="538" spans="2:5">
      <c r="B538" s="32">
        <v>45736</v>
      </c>
      <c r="C538" s="33">
        <f t="shared" si="16"/>
        <v>5</v>
      </c>
      <c r="E538" s="27" t="str">
        <f t="shared" si="17"/>
        <v>sim</v>
      </c>
    </row>
    <row r="539" spans="2:5">
      <c r="B539" s="32">
        <v>45737</v>
      </c>
      <c r="C539" s="33">
        <f t="shared" si="16"/>
        <v>6</v>
      </c>
      <c r="E539" s="27" t="str">
        <f t="shared" si="17"/>
        <v>sim</v>
      </c>
    </row>
    <row r="540" spans="2:5">
      <c r="B540" s="32">
        <v>45738</v>
      </c>
      <c r="C540" s="33">
        <f t="shared" si="16"/>
        <v>7</v>
      </c>
      <c r="E540" s="27" t="str">
        <f t="shared" si="17"/>
        <v>não</v>
      </c>
    </row>
    <row r="541" spans="2:5">
      <c r="B541" s="32">
        <v>45739</v>
      </c>
      <c r="C541" s="33">
        <f t="shared" si="16"/>
        <v>1</v>
      </c>
      <c r="E541" s="27" t="str">
        <f t="shared" si="17"/>
        <v>não</v>
      </c>
    </row>
    <row r="542" spans="2:5">
      <c r="B542" s="32">
        <v>45740</v>
      </c>
      <c r="C542" s="33">
        <f t="shared" si="16"/>
        <v>2</v>
      </c>
      <c r="E542" s="27" t="str">
        <f t="shared" si="17"/>
        <v>sim</v>
      </c>
    </row>
    <row r="543" spans="2:5">
      <c r="B543" s="32">
        <v>45741</v>
      </c>
      <c r="C543" s="33">
        <f t="shared" si="16"/>
        <v>3</v>
      </c>
      <c r="E543" s="27" t="str">
        <f t="shared" si="17"/>
        <v>sim</v>
      </c>
    </row>
    <row r="544" spans="2:5">
      <c r="B544" s="32">
        <v>45742</v>
      </c>
      <c r="C544" s="33">
        <f t="shared" si="16"/>
        <v>4</v>
      </c>
      <c r="E544" s="27" t="str">
        <f t="shared" si="17"/>
        <v>sim</v>
      </c>
    </row>
    <row r="545" spans="2:5">
      <c r="B545" s="32">
        <v>45743</v>
      </c>
      <c r="C545" s="33">
        <f t="shared" si="16"/>
        <v>5</v>
      </c>
      <c r="E545" s="27" t="str">
        <f t="shared" si="17"/>
        <v>sim</v>
      </c>
    </row>
    <row r="546" spans="2:5">
      <c r="B546" s="32">
        <v>45744</v>
      </c>
      <c r="C546" s="33">
        <f t="shared" si="16"/>
        <v>6</v>
      </c>
      <c r="E546" s="27" t="str">
        <f t="shared" si="17"/>
        <v>sim</v>
      </c>
    </row>
    <row r="547" spans="2:5">
      <c r="B547" s="32">
        <v>45745</v>
      </c>
      <c r="C547" s="33">
        <f t="shared" si="16"/>
        <v>7</v>
      </c>
      <c r="E547" s="27" t="str">
        <f t="shared" si="17"/>
        <v>não</v>
      </c>
    </row>
    <row r="548" spans="2:5">
      <c r="B548" s="32">
        <v>45746</v>
      </c>
      <c r="C548" s="33">
        <f t="shared" si="16"/>
        <v>1</v>
      </c>
      <c r="E548" s="27" t="str">
        <f t="shared" si="17"/>
        <v>não</v>
      </c>
    </row>
    <row r="549" spans="2:5">
      <c r="B549" s="32">
        <v>45747</v>
      </c>
      <c r="C549" s="33">
        <f t="shared" si="16"/>
        <v>2</v>
      </c>
      <c r="E549" s="27" t="str">
        <f t="shared" si="17"/>
        <v>sim</v>
      </c>
    </row>
    <row r="550" spans="2:5">
      <c r="B550" s="32">
        <v>45748</v>
      </c>
      <c r="C550" s="33">
        <f t="shared" si="16"/>
        <v>3</v>
      </c>
      <c r="E550" s="27" t="str">
        <f t="shared" si="17"/>
        <v>sim</v>
      </c>
    </row>
    <row r="551" spans="2:5">
      <c r="B551" s="32">
        <v>45749</v>
      </c>
      <c r="C551" s="33">
        <f t="shared" si="16"/>
        <v>4</v>
      </c>
      <c r="E551" s="27" t="str">
        <f t="shared" si="17"/>
        <v>sim</v>
      </c>
    </row>
    <row r="552" spans="2:5">
      <c r="B552" s="32">
        <v>45750</v>
      </c>
      <c r="C552" s="33">
        <f t="shared" si="16"/>
        <v>5</v>
      </c>
      <c r="E552" s="27" t="str">
        <f t="shared" si="17"/>
        <v>sim</v>
      </c>
    </row>
    <row r="553" spans="2:5">
      <c r="B553" s="32">
        <v>45751</v>
      </c>
      <c r="C553" s="33">
        <f t="shared" si="16"/>
        <v>6</v>
      </c>
      <c r="E553" s="27" t="str">
        <f t="shared" si="17"/>
        <v>sim</v>
      </c>
    </row>
    <row r="554" spans="2:5">
      <c r="B554" s="32">
        <v>45752</v>
      </c>
      <c r="C554" s="33">
        <f t="shared" si="16"/>
        <v>7</v>
      </c>
      <c r="E554" s="27" t="str">
        <f t="shared" si="17"/>
        <v>não</v>
      </c>
    </row>
    <row r="555" spans="2:5">
      <c r="B555" s="32">
        <v>45753</v>
      </c>
      <c r="C555" s="33">
        <f t="shared" si="16"/>
        <v>1</v>
      </c>
      <c r="E555" s="27" t="str">
        <f t="shared" si="17"/>
        <v>não</v>
      </c>
    </row>
    <row r="556" spans="2:5">
      <c r="B556" s="32">
        <v>45754</v>
      </c>
      <c r="C556" s="33">
        <f t="shared" si="16"/>
        <v>2</v>
      </c>
      <c r="E556" s="27" t="str">
        <f t="shared" si="17"/>
        <v>sim</v>
      </c>
    </row>
    <row r="557" spans="2:5">
      <c r="B557" s="32">
        <v>45755</v>
      </c>
      <c r="C557" s="33">
        <f t="shared" si="16"/>
        <v>3</v>
      </c>
      <c r="E557" s="27" t="str">
        <f t="shared" si="17"/>
        <v>sim</v>
      </c>
    </row>
    <row r="558" spans="2:5">
      <c r="B558" s="32">
        <v>45756</v>
      </c>
      <c r="C558" s="33">
        <f t="shared" si="16"/>
        <v>4</v>
      </c>
      <c r="E558" s="27" t="str">
        <f t="shared" si="17"/>
        <v>sim</v>
      </c>
    </row>
    <row r="559" spans="2:5">
      <c r="B559" s="32">
        <v>45757</v>
      </c>
      <c r="C559" s="33">
        <f t="shared" si="16"/>
        <v>5</v>
      </c>
      <c r="E559" s="27" t="str">
        <f t="shared" si="17"/>
        <v>sim</v>
      </c>
    </row>
    <row r="560" spans="2:5">
      <c r="B560" s="32">
        <v>45758</v>
      </c>
      <c r="C560" s="33">
        <f t="shared" si="16"/>
        <v>6</v>
      </c>
      <c r="E560" s="27" t="str">
        <f t="shared" si="17"/>
        <v>sim</v>
      </c>
    </row>
    <row r="561" spans="2:5">
      <c r="B561" s="32">
        <v>45759</v>
      </c>
      <c r="C561" s="33">
        <f t="shared" si="16"/>
        <v>7</v>
      </c>
      <c r="E561" s="27" t="str">
        <f t="shared" si="17"/>
        <v>não</v>
      </c>
    </row>
    <row r="562" spans="2:5">
      <c r="B562" s="32">
        <v>45760</v>
      </c>
      <c r="C562" s="33">
        <f t="shared" si="16"/>
        <v>1</v>
      </c>
      <c r="E562" s="27" t="str">
        <f t="shared" si="17"/>
        <v>não</v>
      </c>
    </row>
    <row r="563" spans="2:5">
      <c r="B563" s="32">
        <v>45761</v>
      </c>
      <c r="C563" s="33">
        <f t="shared" si="16"/>
        <v>2</v>
      </c>
      <c r="E563" s="27" t="str">
        <f t="shared" si="17"/>
        <v>sim</v>
      </c>
    </row>
    <row r="564" spans="2:5">
      <c r="B564" s="32">
        <v>45762</v>
      </c>
      <c r="C564" s="33">
        <f t="shared" si="16"/>
        <v>3</v>
      </c>
      <c r="E564" s="27" t="str">
        <f t="shared" si="17"/>
        <v>sim</v>
      </c>
    </row>
    <row r="565" spans="2:5">
      <c r="B565" s="32">
        <v>45763</v>
      </c>
      <c r="C565" s="33">
        <f t="shared" si="16"/>
        <v>4</v>
      </c>
      <c r="E565" s="27" t="str">
        <f t="shared" si="17"/>
        <v>sim</v>
      </c>
    </row>
    <row r="566" spans="2:5">
      <c r="B566" s="32">
        <v>45764</v>
      </c>
      <c r="C566" s="33">
        <f t="shared" si="16"/>
        <v>5</v>
      </c>
      <c r="E566" s="27" t="str">
        <f t="shared" si="17"/>
        <v>sim</v>
      </c>
    </row>
    <row r="567" spans="2:5">
      <c r="B567" s="32">
        <v>45765</v>
      </c>
      <c r="C567" s="33">
        <f t="shared" si="16"/>
        <v>6</v>
      </c>
      <c r="D567" s="27" t="s">
        <v>280</v>
      </c>
      <c r="E567" s="27" t="str">
        <f t="shared" si="17"/>
        <v>não</v>
      </c>
    </row>
    <row r="568" spans="2:5">
      <c r="B568" s="32">
        <v>45766</v>
      </c>
      <c r="C568" s="33">
        <f t="shared" si="16"/>
        <v>7</v>
      </c>
      <c r="E568" s="27" t="str">
        <f t="shared" si="17"/>
        <v>não</v>
      </c>
    </row>
    <row r="569" spans="2:5">
      <c r="B569" s="32">
        <v>45767</v>
      </c>
      <c r="C569" s="33">
        <f t="shared" si="16"/>
        <v>1</v>
      </c>
      <c r="E569" s="27" t="str">
        <f t="shared" si="17"/>
        <v>não</v>
      </c>
    </row>
    <row r="570" spans="2:5">
      <c r="B570" s="32">
        <v>45768</v>
      </c>
      <c r="C570" s="33">
        <f t="shared" si="16"/>
        <v>2</v>
      </c>
      <c r="D570" s="27" t="s">
        <v>182</v>
      </c>
      <c r="E570" s="27" t="str">
        <f t="shared" si="17"/>
        <v>não</v>
      </c>
    </row>
    <row r="571" spans="2:5">
      <c r="B571" s="32">
        <v>45769</v>
      </c>
      <c r="C571" s="33">
        <f t="shared" si="16"/>
        <v>3</v>
      </c>
      <c r="E571" s="27" t="str">
        <f t="shared" si="17"/>
        <v>sim</v>
      </c>
    </row>
    <row r="572" spans="2:5">
      <c r="B572" s="32">
        <v>45770</v>
      </c>
      <c r="C572" s="33">
        <f t="shared" si="16"/>
        <v>4</v>
      </c>
      <c r="E572" s="27" t="str">
        <f t="shared" si="17"/>
        <v>sim</v>
      </c>
    </row>
    <row r="573" spans="2:5">
      <c r="B573" s="32">
        <v>45771</v>
      </c>
      <c r="C573" s="33">
        <f t="shared" si="16"/>
        <v>5</v>
      </c>
      <c r="E573" s="27" t="str">
        <f t="shared" si="17"/>
        <v>sim</v>
      </c>
    </row>
    <row r="574" spans="2:5">
      <c r="B574" s="32">
        <v>45772</v>
      </c>
      <c r="C574" s="33">
        <f t="shared" si="16"/>
        <v>6</v>
      </c>
      <c r="E574" s="27" t="str">
        <f t="shared" si="17"/>
        <v>sim</v>
      </c>
    </row>
    <row r="575" spans="2:5">
      <c r="B575" s="32">
        <v>45773</v>
      </c>
      <c r="C575" s="33">
        <f t="shared" si="16"/>
        <v>7</v>
      </c>
      <c r="E575" s="27" t="str">
        <f t="shared" si="17"/>
        <v>não</v>
      </c>
    </row>
    <row r="576" spans="2:5">
      <c r="B576" s="32">
        <v>45774</v>
      </c>
      <c r="C576" s="33">
        <f t="shared" si="16"/>
        <v>1</v>
      </c>
      <c r="E576" s="27" t="str">
        <f t="shared" si="17"/>
        <v>não</v>
      </c>
    </row>
    <row r="577" spans="2:5">
      <c r="B577" s="32">
        <v>45775</v>
      </c>
      <c r="C577" s="33">
        <f t="shared" si="16"/>
        <v>2</v>
      </c>
      <c r="E577" s="27" t="str">
        <f t="shared" si="17"/>
        <v>sim</v>
      </c>
    </row>
    <row r="578" spans="2:5">
      <c r="B578" s="32">
        <v>45776</v>
      </c>
      <c r="C578" s="33">
        <f t="shared" si="16"/>
        <v>3</v>
      </c>
      <c r="E578" s="27" t="str">
        <f t="shared" si="17"/>
        <v>sim</v>
      </c>
    </row>
    <row r="579" spans="2:5">
      <c r="B579" s="32">
        <v>45777</v>
      </c>
      <c r="C579" s="33">
        <f t="shared" ref="C579:C642" si="18">WEEKDAY(B579)</f>
        <v>4</v>
      </c>
      <c r="E579" s="27" t="str">
        <f t="shared" ref="E579:E642" si="19">IF(D579&lt;&gt;"","não",IF(OR(C579=1,C579=7),"não","sim"))</f>
        <v>sim</v>
      </c>
    </row>
    <row r="580" spans="2:5">
      <c r="B580" s="32">
        <v>45778</v>
      </c>
      <c r="C580" s="33">
        <f t="shared" si="18"/>
        <v>5</v>
      </c>
      <c r="D580" s="27" t="s">
        <v>284</v>
      </c>
      <c r="E580" s="27" t="str">
        <f t="shared" si="19"/>
        <v>não</v>
      </c>
    </row>
    <row r="581" spans="2:5">
      <c r="B581" s="32">
        <v>45779</v>
      </c>
      <c r="C581" s="33">
        <f t="shared" si="18"/>
        <v>6</v>
      </c>
      <c r="E581" s="27" t="str">
        <f t="shared" si="19"/>
        <v>sim</v>
      </c>
    </row>
    <row r="582" spans="2:5">
      <c r="B582" s="32">
        <v>45780</v>
      </c>
      <c r="C582" s="33">
        <f t="shared" si="18"/>
        <v>7</v>
      </c>
      <c r="E582" s="27" t="str">
        <f t="shared" si="19"/>
        <v>não</v>
      </c>
    </row>
    <row r="583" spans="2:5">
      <c r="B583" s="32">
        <v>45781</v>
      </c>
      <c r="C583" s="33">
        <f t="shared" si="18"/>
        <v>1</v>
      </c>
      <c r="E583" s="27" t="str">
        <f t="shared" si="19"/>
        <v>não</v>
      </c>
    </row>
    <row r="584" spans="2:5">
      <c r="B584" s="32">
        <v>45782</v>
      </c>
      <c r="C584" s="33">
        <f t="shared" si="18"/>
        <v>2</v>
      </c>
      <c r="E584" s="27" t="str">
        <f t="shared" si="19"/>
        <v>sim</v>
      </c>
    </row>
    <row r="585" spans="2:5">
      <c r="B585" s="32">
        <v>45783</v>
      </c>
      <c r="C585" s="33">
        <f t="shared" si="18"/>
        <v>3</v>
      </c>
      <c r="E585" s="27" t="str">
        <f t="shared" si="19"/>
        <v>sim</v>
      </c>
    </row>
    <row r="586" spans="2:5">
      <c r="B586" s="32">
        <v>45784</v>
      </c>
      <c r="C586" s="33">
        <f t="shared" si="18"/>
        <v>4</v>
      </c>
      <c r="E586" s="27" t="str">
        <f t="shared" si="19"/>
        <v>sim</v>
      </c>
    </row>
    <row r="587" spans="2:5">
      <c r="B587" s="32">
        <v>45785</v>
      </c>
      <c r="C587" s="33">
        <f t="shared" si="18"/>
        <v>5</v>
      </c>
      <c r="E587" s="27" t="str">
        <f t="shared" si="19"/>
        <v>sim</v>
      </c>
    </row>
    <row r="588" spans="2:5">
      <c r="B588" s="32">
        <v>45786</v>
      </c>
      <c r="C588" s="33">
        <f t="shared" si="18"/>
        <v>6</v>
      </c>
      <c r="E588" s="27" t="str">
        <f t="shared" si="19"/>
        <v>sim</v>
      </c>
    </row>
    <row r="589" spans="2:5">
      <c r="B589" s="32">
        <v>45787</v>
      </c>
      <c r="C589" s="33">
        <f t="shared" si="18"/>
        <v>7</v>
      </c>
      <c r="E589" s="27" t="str">
        <f t="shared" si="19"/>
        <v>não</v>
      </c>
    </row>
    <row r="590" spans="2:5">
      <c r="B590" s="32">
        <v>45788</v>
      </c>
      <c r="C590" s="33">
        <f t="shared" si="18"/>
        <v>1</v>
      </c>
      <c r="E590" s="27" t="str">
        <f t="shared" si="19"/>
        <v>não</v>
      </c>
    </row>
    <row r="591" spans="2:5">
      <c r="B591" s="32">
        <v>45789</v>
      </c>
      <c r="C591" s="33">
        <f t="shared" si="18"/>
        <v>2</v>
      </c>
      <c r="E591" s="27" t="str">
        <f t="shared" si="19"/>
        <v>sim</v>
      </c>
    </row>
    <row r="592" spans="2:5">
      <c r="B592" s="32">
        <v>45790</v>
      </c>
      <c r="C592" s="33">
        <f t="shared" si="18"/>
        <v>3</v>
      </c>
      <c r="E592" s="27" t="str">
        <f t="shared" si="19"/>
        <v>sim</v>
      </c>
    </row>
    <row r="593" spans="2:5">
      <c r="B593" s="32">
        <v>45791</v>
      </c>
      <c r="C593" s="33">
        <f t="shared" si="18"/>
        <v>4</v>
      </c>
      <c r="E593" s="27" t="str">
        <f t="shared" si="19"/>
        <v>sim</v>
      </c>
    </row>
    <row r="594" spans="2:5">
      <c r="B594" s="32">
        <v>45792</v>
      </c>
      <c r="C594" s="33">
        <f t="shared" si="18"/>
        <v>5</v>
      </c>
      <c r="E594" s="27" t="str">
        <f t="shared" si="19"/>
        <v>sim</v>
      </c>
    </row>
    <row r="595" spans="2:5">
      <c r="B595" s="32">
        <v>45793</v>
      </c>
      <c r="C595" s="33">
        <f t="shared" si="18"/>
        <v>6</v>
      </c>
      <c r="E595" s="27" t="str">
        <f t="shared" si="19"/>
        <v>sim</v>
      </c>
    </row>
    <row r="596" spans="2:5">
      <c r="B596" s="32">
        <v>45794</v>
      </c>
      <c r="C596" s="33">
        <f t="shared" si="18"/>
        <v>7</v>
      </c>
      <c r="E596" s="27" t="str">
        <f t="shared" si="19"/>
        <v>não</v>
      </c>
    </row>
    <row r="597" spans="2:5">
      <c r="B597" s="32">
        <v>45795</v>
      </c>
      <c r="C597" s="33">
        <f t="shared" si="18"/>
        <v>1</v>
      </c>
      <c r="E597" s="27" t="str">
        <f t="shared" si="19"/>
        <v>não</v>
      </c>
    </row>
    <row r="598" spans="2:5">
      <c r="B598" s="32">
        <v>45796</v>
      </c>
      <c r="C598" s="33">
        <f t="shared" si="18"/>
        <v>2</v>
      </c>
      <c r="E598" s="27" t="str">
        <f t="shared" si="19"/>
        <v>sim</v>
      </c>
    </row>
    <row r="599" spans="2:5">
      <c r="B599" s="32">
        <v>45797</v>
      </c>
      <c r="C599" s="33">
        <f t="shared" si="18"/>
        <v>3</v>
      </c>
      <c r="E599" s="27" t="str">
        <f t="shared" si="19"/>
        <v>sim</v>
      </c>
    </row>
    <row r="600" spans="2:5">
      <c r="B600" s="32">
        <v>45798</v>
      </c>
      <c r="C600" s="33">
        <f t="shared" si="18"/>
        <v>4</v>
      </c>
      <c r="E600" s="27" t="str">
        <f t="shared" si="19"/>
        <v>sim</v>
      </c>
    </row>
    <row r="601" spans="2:5">
      <c r="B601" s="32">
        <v>45799</v>
      </c>
      <c r="C601" s="33">
        <f t="shared" si="18"/>
        <v>5</v>
      </c>
      <c r="E601" s="27" t="str">
        <f t="shared" si="19"/>
        <v>sim</v>
      </c>
    </row>
    <row r="602" spans="2:5">
      <c r="B602" s="32">
        <v>45800</v>
      </c>
      <c r="C602" s="33">
        <f t="shared" si="18"/>
        <v>6</v>
      </c>
      <c r="E602" s="27" t="str">
        <f t="shared" si="19"/>
        <v>sim</v>
      </c>
    </row>
    <row r="603" spans="2:5">
      <c r="B603" s="32">
        <v>45801</v>
      </c>
      <c r="C603" s="33">
        <f t="shared" si="18"/>
        <v>7</v>
      </c>
      <c r="D603" s="27" t="s">
        <v>183</v>
      </c>
      <c r="E603" s="27" t="str">
        <f t="shared" si="19"/>
        <v>não</v>
      </c>
    </row>
    <row r="604" spans="2:5">
      <c r="B604" s="32">
        <v>45802</v>
      </c>
      <c r="C604" s="33">
        <f t="shared" si="18"/>
        <v>1</v>
      </c>
      <c r="E604" s="27" t="str">
        <f t="shared" si="19"/>
        <v>não</v>
      </c>
    </row>
    <row r="605" spans="2:5">
      <c r="B605" s="32">
        <v>45803</v>
      </c>
      <c r="C605" s="33">
        <f t="shared" si="18"/>
        <v>2</v>
      </c>
      <c r="E605" s="27" t="str">
        <f t="shared" si="19"/>
        <v>sim</v>
      </c>
    </row>
    <row r="606" spans="2:5">
      <c r="B606" s="32">
        <v>45804</v>
      </c>
      <c r="C606" s="33">
        <f t="shared" si="18"/>
        <v>3</v>
      </c>
      <c r="E606" s="27" t="str">
        <f t="shared" si="19"/>
        <v>sim</v>
      </c>
    </row>
    <row r="607" spans="2:5">
      <c r="B607" s="32">
        <v>45805</v>
      </c>
      <c r="C607" s="33">
        <f t="shared" si="18"/>
        <v>4</v>
      </c>
      <c r="E607" s="27" t="str">
        <f t="shared" si="19"/>
        <v>sim</v>
      </c>
    </row>
    <row r="608" spans="2:5">
      <c r="B608" s="32">
        <v>45806</v>
      </c>
      <c r="C608" s="33">
        <f t="shared" si="18"/>
        <v>5</v>
      </c>
      <c r="E608" s="27" t="str">
        <f t="shared" si="19"/>
        <v>sim</v>
      </c>
    </row>
    <row r="609" spans="2:5">
      <c r="B609" s="32">
        <v>45807</v>
      </c>
      <c r="C609" s="33">
        <f t="shared" si="18"/>
        <v>6</v>
      </c>
      <c r="E609" s="27" t="str">
        <f t="shared" si="19"/>
        <v>sim</v>
      </c>
    </row>
    <row r="610" spans="2:5">
      <c r="B610" s="32">
        <v>45808</v>
      </c>
      <c r="C610" s="33">
        <f t="shared" si="18"/>
        <v>7</v>
      </c>
      <c r="E610" s="27" t="str">
        <f t="shared" si="19"/>
        <v>não</v>
      </c>
    </row>
    <row r="611" spans="2:5">
      <c r="B611" s="32">
        <v>45809</v>
      </c>
      <c r="C611" s="33">
        <f t="shared" si="18"/>
        <v>1</v>
      </c>
      <c r="E611" s="27" t="str">
        <f t="shared" si="19"/>
        <v>não</v>
      </c>
    </row>
    <row r="612" spans="2:5">
      <c r="B612" s="32">
        <v>45810</v>
      </c>
      <c r="C612" s="33">
        <f t="shared" si="18"/>
        <v>2</v>
      </c>
      <c r="E612" s="27" t="str">
        <f t="shared" si="19"/>
        <v>sim</v>
      </c>
    </row>
    <row r="613" spans="2:5">
      <c r="B613" s="32">
        <v>45811</v>
      </c>
      <c r="C613" s="33">
        <f t="shared" si="18"/>
        <v>3</v>
      </c>
      <c r="E613" s="27" t="str">
        <f t="shared" si="19"/>
        <v>sim</v>
      </c>
    </row>
    <row r="614" spans="2:5">
      <c r="B614" s="32">
        <v>45812</v>
      </c>
      <c r="C614" s="33">
        <f t="shared" si="18"/>
        <v>4</v>
      </c>
      <c r="E614" s="27" t="str">
        <f t="shared" si="19"/>
        <v>sim</v>
      </c>
    </row>
    <row r="615" spans="2:5">
      <c r="B615" s="32">
        <v>45813</v>
      </c>
      <c r="C615" s="33">
        <f t="shared" si="18"/>
        <v>5</v>
      </c>
      <c r="E615" s="27" t="str">
        <f t="shared" si="19"/>
        <v>sim</v>
      </c>
    </row>
    <row r="616" spans="2:5">
      <c r="B616" s="32">
        <v>45814</v>
      </c>
      <c r="C616" s="33">
        <f t="shared" si="18"/>
        <v>6</v>
      </c>
      <c r="E616" s="27" t="str">
        <f t="shared" si="19"/>
        <v>sim</v>
      </c>
    </row>
    <row r="617" spans="2:5">
      <c r="B617" s="32">
        <v>45815</v>
      </c>
      <c r="C617" s="33">
        <f t="shared" si="18"/>
        <v>7</v>
      </c>
      <c r="E617" s="27" t="str">
        <f t="shared" si="19"/>
        <v>não</v>
      </c>
    </row>
    <row r="618" spans="2:5">
      <c r="B618" s="32">
        <v>45816</v>
      </c>
      <c r="C618" s="33">
        <f t="shared" si="18"/>
        <v>1</v>
      </c>
      <c r="E618" s="27" t="str">
        <f t="shared" si="19"/>
        <v>não</v>
      </c>
    </row>
    <row r="619" spans="2:5">
      <c r="B619" s="32">
        <v>45817</v>
      </c>
      <c r="C619" s="33">
        <f t="shared" si="18"/>
        <v>2</v>
      </c>
      <c r="E619" s="27" t="str">
        <f t="shared" si="19"/>
        <v>sim</v>
      </c>
    </row>
    <row r="620" spans="2:5">
      <c r="B620" s="32">
        <v>45818</v>
      </c>
      <c r="C620" s="33">
        <f t="shared" si="18"/>
        <v>3</v>
      </c>
      <c r="E620" s="27" t="str">
        <f t="shared" si="19"/>
        <v>sim</v>
      </c>
    </row>
    <row r="621" spans="2:5">
      <c r="B621" s="32">
        <v>45819</v>
      </c>
      <c r="C621" s="33">
        <f t="shared" si="18"/>
        <v>4</v>
      </c>
      <c r="E621" s="27" t="str">
        <f t="shared" si="19"/>
        <v>sim</v>
      </c>
    </row>
    <row r="622" spans="2:5">
      <c r="B622" s="32">
        <v>45820</v>
      </c>
      <c r="C622" s="33">
        <f t="shared" si="18"/>
        <v>5</v>
      </c>
      <c r="E622" s="27" t="str">
        <f t="shared" si="19"/>
        <v>sim</v>
      </c>
    </row>
    <row r="623" spans="2:5">
      <c r="B623" s="32">
        <v>45821</v>
      </c>
      <c r="C623" s="33">
        <f t="shared" si="18"/>
        <v>6</v>
      </c>
      <c r="E623" s="27" t="str">
        <f t="shared" si="19"/>
        <v>sim</v>
      </c>
    </row>
    <row r="624" spans="2:5">
      <c r="B624" s="32">
        <v>45822</v>
      </c>
      <c r="C624" s="33">
        <f t="shared" si="18"/>
        <v>7</v>
      </c>
      <c r="E624" s="27" t="str">
        <f t="shared" si="19"/>
        <v>não</v>
      </c>
    </row>
    <row r="625" spans="2:5">
      <c r="B625" s="32">
        <v>45823</v>
      </c>
      <c r="C625" s="33">
        <f t="shared" si="18"/>
        <v>1</v>
      </c>
      <c r="E625" s="27" t="str">
        <f t="shared" si="19"/>
        <v>não</v>
      </c>
    </row>
    <row r="626" spans="2:5">
      <c r="B626" s="32">
        <v>45824</v>
      </c>
      <c r="C626" s="33">
        <f t="shared" si="18"/>
        <v>2</v>
      </c>
      <c r="E626" s="27" t="str">
        <f t="shared" si="19"/>
        <v>sim</v>
      </c>
    </row>
    <row r="627" spans="2:5">
      <c r="B627" s="32">
        <v>45825</v>
      </c>
      <c r="C627" s="33">
        <f t="shared" si="18"/>
        <v>3</v>
      </c>
      <c r="E627" s="27" t="str">
        <f t="shared" si="19"/>
        <v>sim</v>
      </c>
    </row>
    <row r="628" spans="2:5">
      <c r="B628" s="32">
        <v>45826</v>
      </c>
      <c r="C628" s="33">
        <f t="shared" si="18"/>
        <v>4</v>
      </c>
      <c r="E628" s="27" t="str">
        <f t="shared" si="19"/>
        <v>sim</v>
      </c>
    </row>
    <row r="629" spans="2:5">
      <c r="B629" s="32">
        <v>45827</v>
      </c>
      <c r="C629" s="33">
        <f t="shared" si="18"/>
        <v>5</v>
      </c>
      <c r="D629" s="27" t="s">
        <v>285</v>
      </c>
      <c r="E629" s="27" t="str">
        <f t="shared" si="19"/>
        <v>não</v>
      </c>
    </row>
    <row r="630" spans="2:5">
      <c r="B630" s="32">
        <v>45828</v>
      </c>
      <c r="C630" s="33">
        <f t="shared" si="18"/>
        <v>6</v>
      </c>
      <c r="E630" s="27" t="str">
        <f t="shared" si="19"/>
        <v>sim</v>
      </c>
    </row>
    <row r="631" spans="2:5">
      <c r="B631" s="32">
        <v>45829</v>
      </c>
      <c r="C631" s="33">
        <f t="shared" si="18"/>
        <v>7</v>
      </c>
      <c r="E631" s="27" t="str">
        <f t="shared" si="19"/>
        <v>não</v>
      </c>
    </row>
    <row r="632" spans="2:5">
      <c r="B632" s="32">
        <v>45830</v>
      </c>
      <c r="C632" s="33">
        <f t="shared" si="18"/>
        <v>1</v>
      </c>
      <c r="E632" s="27" t="str">
        <f t="shared" si="19"/>
        <v>não</v>
      </c>
    </row>
    <row r="633" spans="2:5">
      <c r="B633" s="32">
        <v>45831</v>
      </c>
      <c r="C633" s="33">
        <f t="shared" si="18"/>
        <v>2</v>
      </c>
      <c r="E633" s="27" t="str">
        <f t="shared" si="19"/>
        <v>sim</v>
      </c>
    </row>
    <row r="634" spans="2:5">
      <c r="B634" s="32">
        <v>45832</v>
      </c>
      <c r="C634" s="33">
        <f t="shared" si="18"/>
        <v>3</v>
      </c>
      <c r="E634" s="27" t="str">
        <f t="shared" si="19"/>
        <v>sim</v>
      </c>
    </row>
    <row r="635" spans="2:5">
      <c r="B635" s="32">
        <v>45833</v>
      </c>
      <c r="C635" s="33">
        <f t="shared" si="18"/>
        <v>4</v>
      </c>
      <c r="E635" s="27" t="str">
        <f t="shared" si="19"/>
        <v>sim</v>
      </c>
    </row>
    <row r="636" spans="2:5">
      <c r="B636" s="32">
        <v>45834</v>
      </c>
      <c r="C636" s="33">
        <f t="shared" si="18"/>
        <v>5</v>
      </c>
      <c r="E636" s="27" t="str">
        <f t="shared" si="19"/>
        <v>sim</v>
      </c>
    </row>
    <row r="637" spans="2:5">
      <c r="B637" s="32">
        <v>45835</v>
      </c>
      <c r="C637" s="33">
        <f t="shared" si="18"/>
        <v>6</v>
      </c>
      <c r="E637" s="27" t="str">
        <f t="shared" si="19"/>
        <v>sim</v>
      </c>
    </row>
    <row r="638" spans="2:5">
      <c r="B638" s="32">
        <v>45836</v>
      </c>
      <c r="C638" s="33">
        <f t="shared" si="18"/>
        <v>7</v>
      </c>
      <c r="E638" s="27" t="str">
        <f t="shared" si="19"/>
        <v>não</v>
      </c>
    </row>
    <row r="639" spans="2:5">
      <c r="B639" s="32">
        <v>45837</v>
      </c>
      <c r="C639" s="33">
        <f t="shared" si="18"/>
        <v>1</v>
      </c>
      <c r="E639" s="27" t="str">
        <f t="shared" si="19"/>
        <v>não</v>
      </c>
    </row>
    <row r="640" spans="2:5">
      <c r="B640" s="32">
        <v>45838</v>
      </c>
      <c r="C640" s="33">
        <f t="shared" si="18"/>
        <v>2</v>
      </c>
      <c r="E640" s="27" t="str">
        <f t="shared" si="19"/>
        <v>sim</v>
      </c>
    </row>
    <row r="641" spans="2:5">
      <c r="B641" s="32">
        <v>45839</v>
      </c>
      <c r="C641" s="33">
        <f t="shared" si="18"/>
        <v>3</v>
      </c>
      <c r="E641" s="27" t="str">
        <f t="shared" si="19"/>
        <v>sim</v>
      </c>
    </row>
    <row r="642" spans="2:5">
      <c r="B642" s="32">
        <v>45840</v>
      </c>
      <c r="C642" s="33">
        <f t="shared" si="18"/>
        <v>4</v>
      </c>
      <c r="E642" s="27" t="str">
        <f t="shared" si="19"/>
        <v>sim</v>
      </c>
    </row>
    <row r="643" spans="2:5">
      <c r="B643" s="32">
        <v>45841</v>
      </c>
      <c r="C643" s="33">
        <f t="shared" ref="C643:C706" si="20">WEEKDAY(B643)</f>
        <v>5</v>
      </c>
      <c r="E643" s="27" t="str">
        <f t="shared" ref="E643:E706" si="21">IF(D643&lt;&gt;"","não",IF(OR(C643=1,C643=7),"não","sim"))</f>
        <v>sim</v>
      </c>
    </row>
    <row r="644" spans="2:5">
      <c r="B644" s="32">
        <v>45842</v>
      </c>
      <c r="C644" s="33">
        <f t="shared" si="20"/>
        <v>6</v>
      </c>
      <c r="E644" s="27" t="str">
        <f t="shared" si="21"/>
        <v>sim</v>
      </c>
    </row>
    <row r="645" spans="2:5">
      <c r="B645" s="32">
        <v>45843</v>
      </c>
      <c r="C645" s="33">
        <f t="shared" si="20"/>
        <v>7</v>
      </c>
      <c r="E645" s="27" t="str">
        <f t="shared" si="21"/>
        <v>não</v>
      </c>
    </row>
    <row r="646" spans="2:5">
      <c r="B646" s="32">
        <v>45844</v>
      </c>
      <c r="C646" s="33">
        <f t="shared" si="20"/>
        <v>1</v>
      </c>
      <c r="E646" s="27" t="str">
        <f t="shared" si="21"/>
        <v>não</v>
      </c>
    </row>
    <row r="647" spans="2:5">
      <c r="B647" s="32">
        <v>45845</v>
      </c>
      <c r="C647" s="33">
        <f t="shared" si="20"/>
        <v>2</v>
      </c>
      <c r="E647" s="27" t="str">
        <f t="shared" si="21"/>
        <v>sim</v>
      </c>
    </row>
    <row r="648" spans="2:5">
      <c r="B648" s="32">
        <v>45846</v>
      </c>
      <c r="C648" s="33">
        <f t="shared" si="20"/>
        <v>3</v>
      </c>
      <c r="E648" s="27" t="str">
        <f t="shared" si="21"/>
        <v>sim</v>
      </c>
    </row>
    <row r="649" spans="2:5">
      <c r="B649" s="32">
        <v>45847</v>
      </c>
      <c r="C649" s="33">
        <f t="shared" si="20"/>
        <v>4</v>
      </c>
      <c r="E649" s="27" t="str">
        <f t="shared" si="21"/>
        <v>sim</v>
      </c>
    </row>
    <row r="650" spans="2:5">
      <c r="B650" s="32">
        <v>45848</v>
      </c>
      <c r="C650" s="33">
        <f t="shared" si="20"/>
        <v>5</v>
      </c>
      <c r="E650" s="27" t="str">
        <f t="shared" si="21"/>
        <v>sim</v>
      </c>
    </row>
    <row r="651" spans="2:5">
      <c r="B651" s="32">
        <v>45849</v>
      </c>
      <c r="C651" s="33">
        <f t="shared" si="20"/>
        <v>6</v>
      </c>
      <c r="E651" s="27" t="str">
        <f t="shared" si="21"/>
        <v>sim</v>
      </c>
    </row>
    <row r="652" spans="2:5">
      <c r="B652" s="32">
        <v>45850</v>
      </c>
      <c r="C652" s="33">
        <f t="shared" si="20"/>
        <v>7</v>
      </c>
      <c r="E652" s="27" t="str">
        <f t="shared" si="21"/>
        <v>não</v>
      </c>
    </row>
    <row r="653" spans="2:5">
      <c r="B653" s="32">
        <v>45851</v>
      </c>
      <c r="C653" s="33">
        <f t="shared" si="20"/>
        <v>1</v>
      </c>
      <c r="E653" s="27" t="str">
        <f t="shared" si="21"/>
        <v>não</v>
      </c>
    </row>
    <row r="654" spans="2:5">
      <c r="B654" s="32">
        <v>45852</v>
      </c>
      <c r="C654" s="33">
        <f t="shared" si="20"/>
        <v>2</v>
      </c>
      <c r="E654" s="27" t="str">
        <f t="shared" si="21"/>
        <v>sim</v>
      </c>
    </row>
    <row r="655" spans="2:5">
      <c r="B655" s="32">
        <v>45853</v>
      </c>
      <c r="C655" s="33">
        <f t="shared" si="20"/>
        <v>3</v>
      </c>
      <c r="E655" s="27" t="str">
        <f t="shared" si="21"/>
        <v>sim</v>
      </c>
    </row>
    <row r="656" spans="2:5">
      <c r="B656" s="32">
        <v>45854</v>
      </c>
      <c r="C656" s="33">
        <f t="shared" si="20"/>
        <v>4</v>
      </c>
      <c r="E656" s="27" t="str">
        <f t="shared" si="21"/>
        <v>sim</v>
      </c>
    </row>
    <row r="657" spans="2:5">
      <c r="B657" s="32">
        <v>45855</v>
      </c>
      <c r="C657" s="33">
        <f t="shared" si="20"/>
        <v>5</v>
      </c>
      <c r="E657" s="27" t="str">
        <f t="shared" si="21"/>
        <v>sim</v>
      </c>
    </row>
    <row r="658" spans="2:5">
      <c r="B658" s="32">
        <v>45856</v>
      </c>
      <c r="C658" s="33">
        <f t="shared" si="20"/>
        <v>6</v>
      </c>
      <c r="E658" s="27" t="str">
        <f t="shared" si="21"/>
        <v>sim</v>
      </c>
    </row>
    <row r="659" spans="2:5">
      <c r="B659" s="32">
        <v>45857</v>
      </c>
      <c r="C659" s="33">
        <f t="shared" si="20"/>
        <v>7</v>
      </c>
      <c r="E659" s="27" t="str">
        <f t="shared" si="21"/>
        <v>não</v>
      </c>
    </row>
    <row r="660" spans="2:5">
      <c r="B660" s="32">
        <v>45858</v>
      </c>
      <c r="C660" s="33">
        <f t="shared" si="20"/>
        <v>1</v>
      </c>
      <c r="E660" s="27" t="str">
        <f t="shared" si="21"/>
        <v>não</v>
      </c>
    </row>
    <row r="661" spans="2:5">
      <c r="B661" s="32">
        <v>45859</v>
      </c>
      <c r="C661" s="33">
        <f t="shared" si="20"/>
        <v>2</v>
      </c>
      <c r="E661" s="27" t="str">
        <f t="shared" si="21"/>
        <v>sim</v>
      </c>
    </row>
    <row r="662" spans="2:5">
      <c r="B662" s="32">
        <v>45860</v>
      </c>
      <c r="C662" s="33">
        <f t="shared" si="20"/>
        <v>3</v>
      </c>
      <c r="E662" s="27" t="str">
        <f t="shared" si="21"/>
        <v>sim</v>
      </c>
    </row>
    <row r="663" spans="2:5">
      <c r="B663" s="32">
        <v>45861</v>
      </c>
      <c r="C663" s="33">
        <f t="shared" si="20"/>
        <v>4</v>
      </c>
      <c r="E663" s="27" t="str">
        <f t="shared" si="21"/>
        <v>sim</v>
      </c>
    </row>
    <row r="664" spans="2:5">
      <c r="B664" s="32">
        <v>45862</v>
      </c>
      <c r="C664" s="33">
        <f t="shared" si="20"/>
        <v>5</v>
      </c>
      <c r="E664" s="27" t="str">
        <f t="shared" si="21"/>
        <v>sim</v>
      </c>
    </row>
    <row r="665" spans="2:5">
      <c r="B665" s="32">
        <v>45863</v>
      </c>
      <c r="C665" s="33">
        <f t="shared" si="20"/>
        <v>6</v>
      </c>
      <c r="E665" s="27" t="str">
        <f t="shared" si="21"/>
        <v>sim</v>
      </c>
    </row>
    <row r="666" spans="2:5">
      <c r="B666" s="32">
        <v>45864</v>
      </c>
      <c r="C666" s="33">
        <f t="shared" si="20"/>
        <v>7</v>
      </c>
      <c r="E666" s="27" t="str">
        <f t="shared" si="21"/>
        <v>não</v>
      </c>
    </row>
    <row r="667" spans="2:5">
      <c r="B667" s="32">
        <v>45865</v>
      </c>
      <c r="C667" s="33">
        <f t="shared" si="20"/>
        <v>1</v>
      </c>
      <c r="E667" s="27" t="str">
        <f t="shared" si="21"/>
        <v>não</v>
      </c>
    </row>
    <row r="668" spans="2:5">
      <c r="B668" s="32">
        <v>45866</v>
      </c>
      <c r="C668" s="33">
        <f t="shared" si="20"/>
        <v>2</v>
      </c>
      <c r="E668" s="27" t="str">
        <f t="shared" si="21"/>
        <v>sim</v>
      </c>
    </row>
    <row r="669" spans="2:5">
      <c r="B669" s="32">
        <v>45867</v>
      </c>
      <c r="C669" s="33">
        <f t="shared" si="20"/>
        <v>3</v>
      </c>
      <c r="E669" s="27" t="str">
        <f t="shared" si="21"/>
        <v>sim</v>
      </c>
    </row>
    <row r="670" spans="2:5">
      <c r="B670" s="32">
        <v>45868</v>
      </c>
      <c r="C670" s="33">
        <f t="shared" si="20"/>
        <v>4</v>
      </c>
      <c r="E670" s="27" t="str">
        <f t="shared" si="21"/>
        <v>sim</v>
      </c>
    </row>
    <row r="671" spans="2:5">
      <c r="B671" s="32">
        <v>45869</v>
      </c>
      <c r="C671" s="33">
        <f t="shared" si="20"/>
        <v>5</v>
      </c>
      <c r="E671" s="27" t="str">
        <f t="shared" si="21"/>
        <v>sim</v>
      </c>
    </row>
    <row r="672" spans="2:5">
      <c r="B672" s="32">
        <v>45870</v>
      </c>
      <c r="C672" s="33">
        <f t="shared" si="20"/>
        <v>6</v>
      </c>
      <c r="E672" s="27" t="str">
        <f t="shared" si="21"/>
        <v>sim</v>
      </c>
    </row>
    <row r="673" spans="2:5">
      <c r="B673" s="32">
        <v>45871</v>
      </c>
      <c r="C673" s="33">
        <f t="shared" si="20"/>
        <v>7</v>
      </c>
      <c r="E673" s="27" t="str">
        <f t="shared" si="21"/>
        <v>não</v>
      </c>
    </row>
    <row r="674" spans="2:5">
      <c r="B674" s="32">
        <v>45872</v>
      </c>
      <c r="C674" s="33">
        <f t="shared" si="20"/>
        <v>1</v>
      </c>
      <c r="E674" s="27" t="str">
        <f t="shared" si="21"/>
        <v>não</v>
      </c>
    </row>
    <row r="675" spans="2:5">
      <c r="B675" s="32">
        <v>45873</v>
      </c>
      <c r="C675" s="33">
        <f t="shared" si="20"/>
        <v>2</v>
      </c>
      <c r="E675" s="27" t="str">
        <f t="shared" si="21"/>
        <v>sim</v>
      </c>
    </row>
    <row r="676" spans="2:5">
      <c r="B676" s="32">
        <v>45874</v>
      </c>
      <c r="C676" s="33">
        <f t="shared" si="20"/>
        <v>3</v>
      </c>
      <c r="E676" s="27" t="str">
        <f t="shared" si="21"/>
        <v>sim</v>
      </c>
    </row>
    <row r="677" spans="2:5">
      <c r="B677" s="32">
        <v>45875</v>
      </c>
      <c r="C677" s="33">
        <f t="shared" si="20"/>
        <v>4</v>
      </c>
      <c r="E677" s="27" t="str">
        <f t="shared" si="21"/>
        <v>sim</v>
      </c>
    </row>
    <row r="678" spans="2:5">
      <c r="B678" s="32">
        <v>45876</v>
      </c>
      <c r="C678" s="33">
        <f t="shared" si="20"/>
        <v>5</v>
      </c>
      <c r="E678" s="27" t="str">
        <f t="shared" si="21"/>
        <v>sim</v>
      </c>
    </row>
    <row r="679" spans="2:5">
      <c r="B679" s="32">
        <v>45877</v>
      </c>
      <c r="C679" s="33">
        <f t="shared" si="20"/>
        <v>6</v>
      </c>
      <c r="E679" s="27" t="str">
        <f t="shared" si="21"/>
        <v>sim</v>
      </c>
    </row>
    <row r="680" spans="2:5">
      <c r="B680" s="32">
        <v>45878</v>
      </c>
      <c r="C680" s="33">
        <f t="shared" si="20"/>
        <v>7</v>
      </c>
      <c r="E680" s="27" t="str">
        <f t="shared" si="21"/>
        <v>não</v>
      </c>
    </row>
    <row r="681" spans="2:5">
      <c r="B681" s="32">
        <v>45879</v>
      </c>
      <c r="C681" s="33">
        <f t="shared" si="20"/>
        <v>1</v>
      </c>
      <c r="E681" s="27" t="str">
        <f t="shared" si="21"/>
        <v>não</v>
      </c>
    </row>
    <row r="682" spans="2:5">
      <c r="B682" s="32">
        <v>45880</v>
      </c>
      <c r="C682" s="33">
        <f t="shared" si="20"/>
        <v>2</v>
      </c>
      <c r="E682" s="27" t="str">
        <f t="shared" si="21"/>
        <v>sim</v>
      </c>
    </row>
    <row r="683" spans="2:5">
      <c r="B683" s="32">
        <v>45881</v>
      </c>
      <c r="C683" s="33">
        <f t="shared" si="20"/>
        <v>3</v>
      </c>
      <c r="E683" s="27" t="str">
        <f t="shared" si="21"/>
        <v>sim</v>
      </c>
    </row>
    <row r="684" spans="2:5">
      <c r="B684" s="32">
        <v>45882</v>
      </c>
      <c r="C684" s="33">
        <f t="shared" si="20"/>
        <v>4</v>
      </c>
      <c r="E684" s="27" t="str">
        <f t="shared" si="21"/>
        <v>sim</v>
      </c>
    </row>
    <row r="685" spans="2:5">
      <c r="B685" s="32">
        <v>45883</v>
      </c>
      <c r="C685" s="33">
        <f t="shared" si="20"/>
        <v>5</v>
      </c>
      <c r="E685" s="27" t="str">
        <f t="shared" si="21"/>
        <v>sim</v>
      </c>
    </row>
    <row r="686" spans="2:5">
      <c r="B686" s="32">
        <v>45884</v>
      </c>
      <c r="C686" s="33">
        <f t="shared" si="20"/>
        <v>6</v>
      </c>
      <c r="E686" s="27" t="str">
        <f t="shared" si="21"/>
        <v>sim</v>
      </c>
    </row>
    <row r="687" spans="2:5">
      <c r="B687" s="32">
        <v>45885</v>
      </c>
      <c r="C687" s="33">
        <f t="shared" si="20"/>
        <v>7</v>
      </c>
      <c r="E687" s="27" t="str">
        <f t="shared" si="21"/>
        <v>não</v>
      </c>
    </row>
    <row r="688" spans="2:5">
      <c r="B688" s="32">
        <v>45886</v>
      </c>
      <c r="C688" s="33">
        <f t="shared" si="20"/>
        <v>1</v>
      </c>
      <c r="E688" s="27" t="str">
        <f t="shared" si="21"/>
        <v>não</v>
      </c>
    </row>
    <row r="689" spans="2:5">
      <c r="B689" s="32">
        <v>45887</v>
      </c>
      <c r="C689" s="33">
        <f t="shared" si="20"/>
        <v>2</v>
      </c>
      <c r="E689" s="27" t="str">
        <f t="shared" si="21"/>
        <v>sim</v>
      </c>
    </row>
    <row r="690" spans="2:5">
      <c r="B690" s="32">
        <v>45888</v>
      </c>
      <c r="C690" s="33">
        <f t="shared" si="20"/>
        <v>3</v>
      </c>
      <c r="E690" s="27" t="str">
        <f t="shared" si="21"/>
        <v>sim</v>
      </c>
    </row>
    <row r="691" spans="2:5">
      <c r="B691" s="32">
        <v>45889</v>
      </c>
      <c r="C691" s="33">
        <f t="shared" si="20"/>
        <v>4</v>
      </c>
      <c r="E691" s="27" t="str">
        <f t="shared" si="21"/>
        <v>sim</v>
      </c>
    </row>
    <row r="692" spans="2:5">
      <c r="B692" s="32">
        <v>45890</v>
      </c>
      <c r="C692" s="33">
        <f t="shared" si="20"/>
        <v>5</v>
      </c>
      <c r="E692" s="27" t="str">
        <f t="shared" si="21"/>
        <v>sim</v>
      </c>
    </row>
    <row r="693" spans="2:5">
      <c r="B693" s="32">
        <v>45891</v>
      </c>
      <c r="C693" s="33">
        <f t="shared" si="20"/>
        <v>6</v>
      </c>
      <c r="E693" s="27" t="str">
        <f t="shared" si="21"/>
        <v>sim</v>
      </c>
    </row>
    <row r="694" spans="2:5">
      <c r="B694" s="32">
        <v>45892</v>
      </c>
      <c r="C694" s="33">
        <f t="shared" si="20"/>
        <v>7</v>
      </c>
      <c r="E694" s="27" t="str">
        <f t="shared" si="21"/>
        <v>não</v>
      </c>
    </row>
    <row r="695" spans="2:5">
      <c r="B695" s="32">
        <v>45893</v>
      </c>
      <c r="C695" s="33">
        <f t="shared" si="20"/>
        <v>1</v>
      </c>
      <c r="E695" s="27" t="str">
        <f t="shared" si="21"/>
        <v>não</v>
      </c>
    </row>
    <row r="696" spans="2:5">
      <c r="B696" s="32">
        <v>45894</v>
      </c>
      <c r="C696" s="33">
        <f t="shared" si="20"/>
        <v>2</v>
      </c>
      <c r="E696" s="27" t="str">
        <f t="shared" si="21"/>
        <v>sim</v>
      </c>
    </row>
    <row r="697" spans="2:5">
      <c r="B697" s="32">
        <v>45895</v>
      </c>
      <c r="C697" s="33">
        <f t="shared" si="20"/>
        <v>3</v>
      </c>
      <c r="E697" s="27" t="str">
        <f t="shared" si="21"/>
        <v>sim</v>
      </c>
    </row>
    <row r="698" spans="2:5">
      <c r="B698" s="32">
        <v>45896</v>
      </c>
      <c r="C698" s="33">
        <f t="shared" si="20"/>
        <v>4</v>
      </c>
      <c r="E698" s="27" t="str">
        <f t="shared" si="21"/>
        <v>sim</v>
      </c>
    </row>
    <row r="699" spans="2:5">
      <c r="B699" s="32">
        <v>45897</v>
      </c>
      <c r="C699" s="33">
        <f t="shared" si="20"/>
        <v>5</v>
      </c>
      <c r="E699" s="27" t="str">
        <f t="shared" si="21"/>
        <v>sim</v>
      </c>
    </row>
    <row r="700" spans="2:5">
      <c r="B700" s="32">
        <v>45898</v>
      </c>
      <c r="C700" s="33">
        <f t="shared" si="20"/>
        <v>6</v>
      </c>
      <c r="E700" s="27" t="str">
        <f t="shared" si="21"/>
        <v>sim</v>
      </c>
    </row>
    <row r="701" spans="2:5">
      <c r="B701" s="32">
        <v>45899</v>
      </c>
      <c r="C701" s="33">
        <f t="shared" si="20"/>
        <v>7</v>
      </c>
      <c r="E701" s="27" t="str">
        <f t="shared" si="21"/>
        <v>não</v>
      </c>
    </row>
    <row r="702" spans="2:5">
      <c r="B702" s="32">
        <v>45900</v>
      </c>
      <c r="C702" s="33">
        <f t="shared" si="20"/>
        <v>1</v>
      </c>
      <c r="E702" s="27" t="str">
        <f t="shared" si="21"/>
        <v>não</v>
      </c>
    </row>
    <row r="703" spans="2:5">
      <c r="B703" s="32">
        <v>45901</v>
      </c>
      <c r="C703" s="33">
        <f t="shared" si="20"/>
        <v>2</v>
      </c>
      <c r="E703" s="27" t="str">
        <f t="shared" si="21"/>
        <v>sim</v>
      </c>
    </row>
    <row r="704" spans="2:5">
      <c r="B704" s="32">
        <v>45902</v>
      </c>
      <c r="C704" s="33">
        <f t="shared" si="20"/>
        <v>3</v>
      </c>
      <c r="E704" s="27" t="str">
        <f t="shared" si="21"/>
        <v>sim</v>
      </c>
    </row>
    <row r="705" spans="2:5">
      <c r="B705" s="32">
        <v>45903</v>
      </c>
      <c r="C705" s="33">
        <f t="shared" si="20"/>
        <v>4</v>
      </c>
      <c r="E705" s="27" t="str">
        <f t="shared" si="21"/>
        <v>sim</v>
      </c>
    </row>
    <row r="706" spans="2:5">
      <c r="B706" s="32">
        <v>45904</v>
      </c>
      <c r="C706" s="33">
        <f t="shared" si="20"/>
        <v>5</v>
      </c>
      <c r="E706" s="27" t="str">
        <f t="shared" si="21"/>
        <v>sim</v>
      </c>
    </row>
    <row r="707" spans="2:5">
      <c r="B707" s="32">
        <v>45905</v>
      </c>
      <c r="C707" s="33">
        <f t="shared" ref="C707:C732" si="22">WEEKDAY(B707)</f>
        <v>6</v>
      </c>
      <c r="E707" s="27" t="str">
        <f t="shared" ref="E707:E732" si="23">IF(D707&lt;&gt;"","não",IF(OR(C707=1,C707=7),"não","sim"))</f>
        <v>sim</v>
      </c>
    </row>
    <row r="708" spans="2:5">
      <c r="B708" s="32">
        <v>45906</v>
      </c>
      <c r="C708" s="33">
        <f t="shared" si="22"/>
        <v>7</v>
      </c>
      <c r="E708" s="27" t="str">
        <f t="shared" si="23"/>
        <v>não</v>
      </c>
    </row>
    <row r="709" spans="2:5">
      <c r="B709" s="32">
        <v>45907</v>
      </c>
      <c r="C709" s="33">
        <f t="shared" si="22"/>
        <v>1</v>
      </c>
      <c r="D709" s="27" t="s">
        <v>282</v>
      </c>
      <c r="E709" s="27" t="str">
        <f t="shared" si="23"/>
        <v>não</v>
      </c>
    </row>
    <row r="710" spans="2:5">
      <c r="B710" s="32">
        <v>45908</v>
      </c>
      <c r="C710" s="33">
        <f t="shared" si="22"/>
        <v>2</v>
      </c>
      <c r="E710" s="27" t="str">
        <f t="shared" si="23"/>
        <v>sim</v>
      </c>
    </row>
    <row r="711" spans="2:5">
      <c r="B711" s="32">
        <v>45909</v>
      </c>
      <c r="C711" s="33">
        <f t="shared" si="22"/>
        <v>3</v>
      </c>
      <c r="E711" s="27" t="str">
        <f t="shared" si="23"/>
        <v>sim</v>
      </c>
    </row>
    <row r="712" spans="2:5">
      <c r="B712" s="32">
        <v>45910</v>
      </c>
      <c r="C712" s="33">
        <f t="shared" si="22"/>
        <v>4</v>
      </c>
      <c r="E712" s="27" t="str">
        <f t="shared" si="23"/>
        <v>sim</v>
      </c>
    </row>
    <row r="713" spans="2:5">
      <c r="B713" s="32">
        <v>45911</v>
      </c>
      <c r="C713" s="33">
        <f t="shared" si="22"/>
        <v>5</v>
      </c>
      <c r="E713" s="27" t="str">
        <f t="shared" si="23"/>
        <v>sim</v>
      </c>
    </row>
    <row r="714" spans="2:5">
      <c r="B714" s="32">
        <v>45912</v>
      </c>
      <c r="C714" s="33">
        <f t="shared" si="22"/>
        <v>6</v>
      </c>
      <c r="E714" s="27" t="str">
        <f t="shared" si="23"/>
        <v>sim</v>
      </c>
    </row>
    <row r="715" spans="2:5">
      <c r="B715" s="32">
        <v>45913</v>
      </c>
      <c r="C715" s="33">
        <f t="shared" si="22"/>
        <v>7</v>
      </c>
      <c r="E715" s="27" t="str">
        <f t="shared" si="23"/>
        <v>não</v>
      </c>
    </row>
    <row r="716" spans="2:5">
      <c r="B716" s="32">
        <v>45914</v>
      </c>
      <c r="C716" s="33">
        <f t="shared" si="22"/>
        <v>1</v>
      </c>
      <c r="E716" s="27" t="str">
        <f t="shared" si="23"/>
        <v>não</v>
      </c>
    </row>
    <row r="717" spans="2:5">
      <c r="B717" s="32">
        <v>45915</v>
      </c>
      <c r="C717" s="33">
        <f t="shared" si="22"/>
        <v>2</v>
      </c>
      <c r="E717" s="27" t="str">
        <f t="shared" si="23"/>
        <v>sim</v>
      </c>
    </row>
    <row r="718" spans="2:5">
      <c r="B718" s="32">
        <v>45916</v>
      </c>
      <c r="C718" s="33">
        <f t="shared" si="22"/>
        <v>3</v>
      </c>
      <c r="E718" s="27" t="str">
        <f t="shared" si="23"/>
        <v>sim</v>
      </c>
    </row>
    <row r="719" spans="2:5">
      <c r="B719" s="32">
        <v>45917</v>
      </c>
      <c r="C719" s="33">
        <f t="shared" si="22"/>
        <v>4</v>
      </c>
      <c r="E719" s="27" t="str">
        <f t="shared" si="23"/>
        <v>sim</v>
      </c>
    </row>
    <row r="720" spans="2:5">
      <c r="B720" s="32">
        <v>45918</v>
      </c>
      <c r="C720" s="33">
        <f t="shared" si="22"/>
        <v>5</v>
      </c>
      <c r="E720" s="27" t="str">
        <f t="shared" si="23"/>
        <v>sim</v>
      </c>
    </row>
    <row r="721" spans="2:5">
      <c r="B721" s="32">
        <v>45919</v>
      </c>
      <c r="C721" s="33">
        <f t="shared" si="22"/>
        <v>6</v>
      </c>
      <c r="E721" s="27" t="str">
        <f t="shared" si="23"/>
        <v>sim</v>
      </c>
    </row>
    <row r="722" spans="2:5">
      <c r="B722" s="32">
        <v>45920</v>
      </c>
      <c r="C722" s="33">
        <f t="shared" si="22"/>
        <v>7</v>
      </c>
      <c r="E722" s="27" t="str">
        <f t="shared" si="23"/>
        <v>não</v>
      </c>
    </row>
    <row r="723" spans="2:5">
      <c r="B723" s="32">
        <v>45921</v>
      </c>
      <c r="C723" s="33">
        <f t="shared" si="22"/>
        <v>1</v>
      </c>
      <c r="E723" s="27" t="str">
        <f t="shared" si="23"/>
        <v>não</v>
      </c>
    </row>
    <row r="724" spans="2:5">
      <c r="B724" s="32">
        <v>45922</v>
      </c>
      <c r="C724" s="33">
        <f t="shared" si="22"/>
        <v>2</v>
      </c>
      <c r="E724" s="27" t="str">
        <f t="shared" si="23"/>
        <v>sim</v>
      </c>
    </row>
    <row r="725" spans="2:5">
      <c r="B725" s="32">
        <v>45923</v>
      </c>
      <c r="C725" s="33">
        <f t="shared" si="22"/>
        <v>3</v>
      </c>
      <c r="E725" s="27" t="str">
        <f t="shared" si="23"/>
        <v>sim</v>
      </c>
    </row>
    <row r="726" spans="2:5">
      <c r="B726" s="32">
        <v>45924</v>
      </c>
      <c r="C726" s="33">
        <f t="shared" si="22"/>
        <v>4</v>
      </c>
      <c r="E726" s="27" t="str">
        <f t="shared" si="23"/>
        <v>sim</v>
      </c>
    </row>
    <row r="727" spans="2:5">
      <c r="B727" s="32">
        <v>45925</v>
      </c>
      <c r="C727" s="33">
        <f t="shared" si="22"/>
        <v>5</v>
      </c>
      <c r="E727" s="27" t="str">
        <f t="shared" si="23"/>
        <v>sim</v>
      </c>
    </row>
    <row r="728" spans="2:5">
      <c r="B728" s="32">
        <v>45926</v>
      </c>
      <c r="C728" s="33">
        <f t="shared" si="22"/>
        <v>6</v>
      </c>
      <c r="E728" s="27" t="str">
        <f t="shared" si="23"/>
        <v>sim</v>
      </c>
    </row>
    <row r="729" spans="2:5">
      <c r="B729" s="32">
        <v>45927</v>
      </c>
      <c r="C729" s="33">
        <f t="shared" si="22"/>
        <v>7</v>
      </c>
      <c r="E729" s="27" t="str">
        <f t="shared" si="23"/>
        <v>não</v>
      </c>
    </row>
    <row r="730" spans="2:5">
      <c r="B730" s="32">
        <v>45928</v>
      </c>
      <c r="C730" s="33">
        <f t="shared" si="22"/>
        <v>1</v>
      </c>
      <c r="E730" s="27" t="str">
        <f t="shared" si="23"/>
        <v>não</v>
      </c>
    </row>
    <row r="731" spans="2:5">
      <c r="B731" s="32">
        <v>45929</v>
      </c>
      <c r="C731" s="33">
        <f t="shared" si="22"/>
        <v>2</v>
      </c>
      <c r="E731" s="27" t="str">
        <f t="shared" si="23"/>
        <v>sim</v>
      </c>
    </row>
    <row r="732" spans="2:5">
      <c r="B732" s="32">
        <v>45930</v>
      </c>
      <c r="C732" s="33">
        <f t="shared" si="22"/>
        <v>3</v>
      </c>
      <c r="E732" s="27" t="str">
        <f t="shared" si="23"/>
        <v>sim</v>
      </c>
    </row>
  </sheetData>
  <autoFilter ref="B1:E732" xr:uid="{00000000-0001-0000-0600-000000000000}"/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72ABAB3E301DE4B8584ECDBAC5ADC2E" ma:contentTypeVersion="10" ma:contentTypeDescription="Crie um novo documento." ma:contentTypeScope="" ma:versionID="c958749add46b2ca569f76c50370a895">
  <xsd:schema xmlns:xsd="http://www.w3.org/2001/XMLSchema" xmlns:xs="http://www.w3.org/2001/XMLSchema" xmlns:p="http://schemas.microsoft.com/office/2006/metadata/properties" xmlns:ns2="f1fd1041-1cd4-4b41-b7f1-b8a36cda50e2" xmlns:ns3="a804a020-79b1-4ea9-a0c2-635fca6c939d" targetNamespace="http://schemas.microsoft.com/office/2006/metadata/properties" ma:root="true" ma:fieldsID="0bd4c81c4bf0d0437f9a73fdee749e3d" ns2:_="" ns3:_="">
    <xsd:import namespace="f1fd1041-1cd4-4b41-b7f1-b8a36cda50e2"/>
    <xsd:import namespace="a804a020-79b1-4ea9-a0c2-635fca6c939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fd1041-1cd4-4b41-b7f1-b8a36cda50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04a020-79b1-4ea9-a0c2-635fca6c939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6015DC-5D20-4B21-81C5-F0EDB4B713A5}">
  <ds:schemaRefs>
    <ds:schemaRef ds:uri="f1fd1041-1cd4-4b41-b7f1-b8a36cda50e2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www.w3.org/XML/1998/namespace"/>
    <ds:schemaRef ds:uri="a804a020-79b1-4ea9-a0c2-635fca6c939d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6283158-5EA0-4DE2-AD1F-AEDD4079C7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fd1041-1cd4-4b41-b7f1-b8a36cda50e2"/>
    <ds:schemaRef ds:uri="a804a020-79b1-4ea9-a0c2-635fca6c93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D51156-7185-4F96-89AF-FAE302A927C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7</vt:i4>
      </vt:variant>
    </vt:vector>
  </HeadingPairs>
  <TitlesOfParts>
    <vt:vector size="15" baseType="lpstr">
      <vt:lpstr>CONSOLIDAÇÃO</vt:lpstr>
      <vt:lpstr>SERVENTE</vt:lpstr>
      <vt:lpstr>UNIFORME</vt:lpstr>
      <vt:lpstr>EPI</vt:lpstr>
      <vt:lpstr>MATERIAIS</vt:lpstr>
      <vt:lpstr>UTENSÍLIOS</vt:lpstr>
      <vt:lpstr>EQUIPAMENTOS</vt:lpstr>
      <vt:lpstr>MMDT</vt:lpstr>
      <vt:lpstr>EPI!Area_de_impressao</vt:lpstr>
      <vt:lpstr>EQUIPAMENTOS!Area_de_impressao</vt:lpstr>
      <vt:lpstr>MATERIAIS!Area_de_impressao</vt:lpstr>
      <vt:lpstr>MMDT!Area_de_impressao</vt:lpstr>
      <vt:lpstr>SERVENTE!Area_de_impressao</vt:lpstr>
      <vt:lpstr>UNIFORME!Area_de_impressao</vt:lpstr>
      <vt:lpstr>UTENSÍLIOS!Area_de_impressao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User</cp:lastModifiedBy>
  <cp:lastPrinted>2023-09-06T13:16:42Z</cp:lastPrinted>
  <dcterms:created xsi:type="dcterms:W3CDTF">2018-01-23T19:35:16Z</dcterms:created>
  <dcterms:modified xsi:type="dcterms:W3CDTF">2023-09-06T13:28:31Z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0x010100772ABAB3E301DE4B8584ECDBAC5ADC2E</vt:lpwstr>
  </property>
</Properties>
</file>